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AÑO 2021\SEPTIEMBRE 2021\10.29\OPERACIONES POSTALES\"/>
    </mc:Choice>
  </mc:AlternateContent>
  <bookViews>
    <workbookView xWindow="600" yWindow="630" windowWidth="18435" windowHeight="10995"/>
  </bookViews>
  <sheets>
    <sheet name="Septiembre" sheetId="12" r:id="rId1"/>
  </sheets>
  <definedNames>
    <definedName name="_xlnm.Print_Area" localSheetId="0">Septiembre!$A$1:$E$62</definedName>
  </definedNames>
  <calcPr calcId="152511"/>
</workbook>
</file>

<file path=xl/calcChain.xml><?xml version="1.0" encoding="utf-8"?>
<calcChain xmlns="http://schemas.openxmlformats.org/spreadsheetml/2006/main">
  <c r="Q144" i="12" l="1"/>
  <c r="K144" i="12"/>
  <c r="I144" i="12"/>
  <c r="H144" i="12"/>
  <c r="E144" i="12"/>
  <c r="D144" i="12"/>
  <c r="F143" i="12"/>
  <c r="J143" i="12" s="1"/>
  <c r="L143" i="12" s="1"/>
  <c r="F142" i="12"/>
  <c r="N142" i="12" s="1"/>
  <c r="P141" i="12"/>
  <c r="F141" i="12"/>
  <c r="N140" i="12"/>
  <c r="F140" i="12"/>
  <c r="P139" i="12"/>
  <c r="O139" i="12"/>
  <c r="N139" i="12"/>
  <c r="R139" i="12" s="1"/>
  <c r="L139" i="12"/>
  <c r="J139" i="12"/>
  <c r="F139" i="12"/>
  <c r="P138" i="12"/>
  <c r="O138" i="12"/>
  <c r="N138" i="12"/>
  <c r="R138" i="12" s="1"/>
  <c r="L138" i="12"/>
  <c r="F138" i="12"/>
  <c r="J138" i="12" s="1"/>
  <c r="F137" i="12"/>
  <c r="J137" i="12" s="1"/>
  <c r="L137" i="12" s="1"/>
  <c r="F136" i="12"/>
  <c r="N136" i="12" s="1"/>
  <c r="F135" i="12"/>
  <c r="N134" i="12"/>
  <c r="F134" i="12"/>
  <c r="P133" i="12"/>
  <c r="O133" i="12"/>
  <c r="N133" i="12"/>
  <c r="R133" i="12" s="1"/>
  <c r="J133" i="12"/>
  <c r="L133" i="12" s="1"/>
  <c r="F133" i="12"/>
  <c r="P132" i="12"/>
  <c r="O132" i="12"/>
  <c r="N132" i="12"/>
  <c r="R132" i="12" s="1"/>
  <c r="F132" i="12"/>
  <c r="J132" i="12" s="1"/>
  <c r="L132" i="12" s="1"/>
  <c r="P131" i="12"/>
  <c r="O131" i="12"/>
  <c r="N131" i="12"/>
  <c r="R131" i="12" s="1"/>
  <c r="F131" i="12"/>
  <c r="J131" i="12" s="1"/>
  <c r="L131" i="12" s="1"/>
  <c r="F130" i="12"/>
  <c r="N130" i="12" s="1"/>
  <c r="F129" i="12"/>
  <c r="F128" i="12"/>
  <c r="P127" i="12"/>
  <c r="O127" i="12"/>
  <c r="N127" i="12"/>
  <c r="J127" i="12"/>
  <c r="L127" i="12" s="1"/>
  <c r="F127" i="12"/>
  <c r="P126" i="12"/>
  <c r="O126" i="12"/>
  <c r="N126" i="12"/>
  <c r="F126" i="12"/>
  <c r="J126" i="12" s="1"/>
  <c r="L126" i="12" s="1"/>
  <c r="P125" i="12"/>
  <c r="O125" i="12"/>
  <c r="F125" i="12"/>
  <c r="J125" i="12" s="1"/>
  <c r="L125" i="12" s="1"/>
  <c r="P124" i="12"/>
  <c r="O124" i="12"/>
  <c r="R124" i="12" s="1"/>
  <c r="J124" i="12"/>
  <c r="L124" i="12" s="1"/>
  <c r="F124" i="12"/>
  <c r="N124" i="12" s="1"/>
  <c r="F123" i="12"/>
  <c r="P123" i="12" s="1"/>
  <c r="F122" i="12"/>
  <c r="N122" i="12" s="1"/>
  <c r="P121" i="12"/>
  <c r="O121" i="12"/>
  <c r="N121" i="12"/>
  <c r="R121" i="12" s="1"/>
  <c r="J121" i="12"/>
  <c r="L121" i="12" s="1"/>
  <c r="F121" i="12"/>
  <c r="P120" i="12"/>
  <c r="O120" i="12"/>
  <c r="N120" i="12"/>
  <c r="F120" i="12"/>
  <c r="J120" i="12" s="1"/>
  <c r="L120" i="12" s="1"/>
  <c r="P119" i="12"/>
  <c r="F119" i="12"/>
  <c r="J119" i="12" s="1"/>
  <c r="L119" i="12" s="1"/>
  <c r="P118" i="12"/>
  <c r="O118" i="12"/>
  <c r="R118" i="12" s="1"/>
  <c r="F118" i="12"/>
  <c r="N118" i="12" s="1"/>
  <c r="P117" i="12"/>
  <c r="J117" i="12"/>
  <c r="L117" i="12" s="1"/>
  <c r="F117" i="12"/>
  <c r="F116" i="12"/>
  <c r="N116" i="12" s="1"/>
  <c r="P115" i="12"/>
  <c r="O115" i="12"/>
  <c r="N115" i="12"/>
  <c r="R115" i="12" s="1"/>
  <c r="J115" i="12"/>
  <c r="L115" i="12" s="1"/>
  <c r="F115" i="12"/>
  <c r="P114" i="12"/>
  <c r="O114" i="12"/>
  <c r="N114" i="12"/>
  <c r="R114" i="12" s="1"/>
  <c r="F114" i="12"/>
  <c r="J114" i="12" s="1"/>
  <c r="L114" i="12" s="1"/>
  <c r="F113" i="12"/>
  <c r="J113" i="12" s="1"/>
  <c r="L113" i="12" s="1"/>
  <c r="P112" i="12"/>
  <c r="F112" i="12"/>
  <c r="N112" i="12" s="1"/>
  <c r="P111" i="12"/>
  <c r="F111" i="12"/>
  <c r="N110" i="12"/>
  <c r="J110" i="12"/>
  <c r="L110" i="12" s="1"/>
  <c r="F110" i="12"/>
  <c r="P109" i="12"/>
  <c r="O109" i="12"/>
  <c r="N109" i="12"/>
  <c r="R109" i="12" s="1"/>
  <c r="J109" i="12"/>
  <c r="L109" i="12" s="1"/>
  <c r="F109" i="12"/>
  <c r="F108" i="12"/>
  <c r="J108" i="12" s="1"/>
  <c r="L108" i="12" s="1"/>
  <c r="F107" i="12"/>
  <c r="J107" i="12" s="1"/>
  <c r="L107" i="12" s="1"/>
  <c r="F106" i="12"/>
  <c r="N106" i="12" s="1"/>
  <c r="F105" i="12"/>
  <c r="O105" i="12" s="1"/>
  <c r="F104" i="12"/>
  <c r="P104" i="12" s="1"/>
  <c r="P103" i="12"/>
  <c r="O103" i="12"/>
  <c r="N103" i="12"/>
  <c r="R103" i="12" s="1"/>
  <c r="J103" i="12"/>
  <c r="L103" i="12" s="1"/>
  <c r="F103" i="12"/>
  <c r="F102" i="12"/>
  <c r="J102" i="12" s="1"/>
  <c r="L102" i="12" s="1"/>
  <c r="F101" i="12"/>
  <c r="P101" i="12" s="1"/>
  <c r="F100" i="12"/>
  <c r="N100" i="12" s="1"/>
  <c r="F99" i="12"/>
  <c r="O99" i="12" s="1"/>
  <c r="F98" i="12"/>
  <c r="P98" i="12" s="1"/>
  <c r="P97" i="12"/>
  <c r="O97" i="12"/>
  <c r="N97" i="12"/>
  <c r="R97" i="12" s="1"/>
  <c r="J97" i="12"/>
  <c r="L97" i="12" s="1"/>
  <c r="F97" i="12"/>
  <c r="F96" i="12"/>
  <c r="J96" i="12" s="1"/>
  <c r="L96" i="12" s="1"/>
  <c r="F95" i="12"/>
  <c r="P95" i="12" s="1"/>
  <c r="F94" i="12"/>
  <c r="N94" i="12" s="1"/>
  <c r="F93" i="12"/>
  <c r="O93" i="12" s="1"/>
  <c r="F92" i="12"/>
  <c r="P92" i="12" s="1"/>
  <c r="P91" i="12"/>
  <c r="O91" i="12"/>
  <c r="N91" i="12"/>
  <c r="R91" i="12" s="1"/>
  <c r="J91" i="12"/>
  <c r="L91" i="12" s="1"/>
  <c r="F91" i="12"/>
  <c r="R106" i="12" l="1"/>
  <c r="J92" i="12"/>
  <c r="L92" i="12" s="1"/>
  <c r="L144" i="12" s="1"/>
  <c r="J93" i="12"/>
  <c r="L93" i="12" s="1"/>
  <c r="J95" i="12"/>
  <c r="L95" i="12" s="1"/>
  <c r="J98" i="12"/>
  <c r="L98" i="12" s="1"/>
  <c r="J100" i="12"/>
  <c r="L100" i="12" s="1"/>
  <c r="J101" i="12"/>
  <c r="L101" i="12" s="1"/>
  <c r="J105" i="12"/>
  <c r="L105" i="12" s="1"/>
  <c r="J106" i="12"/>
  <c r="L106" i="12" s="1"/>
  <c r="J116" i="12"/>
  <c r="L116" i="12" s="1"/>
  <c r="J123" i="12"/>
  <c r="L123" i="12" s="1"/>
  <c r="O129" i="12"/>
  <c r="N129" i="12"/>
  <c r="N137" i="12"/>
  <c r="N95" i="12"/>
  <c r="N96" i="12"/>
  <c r="R96" i="12" s="1"/>
  <c r="N101" i="12"/>
  <c r="N102" i="12"/>
  <c r="N107" i="12"/>
  <c r="N108" i="12"/>
  <c r="J122" i="12"/>
  <c r="L122" i="12" s="1"/>
  <c r="P128" i="12"/>
  <c r="O128" i="12"/>
  <c r="J129" i="12"/>
  <c r="L129" i="12" s="1"/>
  <c r="O130" i="12"/>
  <c r="R130" i="12" s="1"/>
  <c r="O135" i="12"/>
  <c r="N135" i="12"/>
  <c r="J136" i="12"/>
  <c r="L136" i="12" s="1"/>
  <c r="O137" i="12"/>
  <c r="N143" i="12"/>
  <c r="R143" i="12" s="1"/>
  <c r="F144" i="12"/>
  <c r="N92" i="12"/>
  <c r="N93" i="12"/>
  <c r="R93" i="12" s="1"/>
  <c r="O94" i="12"/>
  <c r="R94" i="12" s="1"/>
  <c r="O95" i="12"/>
  <c r="O96" i="12"/>
  <c r="N98" i="12"/>
  <c r="N99" i="12"/>
  <c r="O100" i="12"/>
  <c r="O101" i="12"/>
  <c r="O102" i="12"/>
  <c r="N104" i="12"/>
  <c r="N105" i="12"/>
  <c r="O106" i="12"/>
  <c r="O107" i="12"/>
  <c r="O108" i="12"/>
  <c r="N113" i="12"/>
  <c r="R113" i="12" s="1"/>
  <c r="J128" i="12"/>
  <c r="L128" i="12" s="1"/>
  <c r="P130" i="12"/>
  <c r="P134" i="12"/>
  <c r="O134" i="12"/>
  <c r="R134" i="12" s="1"/>
  <c r="J135" i="12"/>
  <c r="L135" i="12" s="1"/>
  <c r="O136" i="12"/>
  <c r="R136" i="12" s="1"/>
  <c r="P137" i="12"/>
  <c r="O141" i="12"/>
  <c r="N141" i="12"/>
  <c r="R141" i="12" s="1"/>
  <c r="J142" i="12"/>
  <c r="L142" i="12" s="1"/>
  <c r="O143" i="12"/>
  <c r="O92" i="12"/>
  <c r="P93" i="12"/>
  <c r="P94" i="12"/>
  <c r="P96" i="12"/>
  <c r="O98" i="12"/>
  <c r="P99" i="12"/>
  <c r="P144" i="12" s="1"/>
  <c r="P100" i="12"/>
  <c r="R100" i="12" s="1"/>
  <c r="P102" i="12"/>
  <c r="O104" i="12"/>
  <c r="P105" i="12"/>
  <c r="P106" i="12"/>
  <c r="P107" i="12"/>
  <c r="P108" i="12"/>
  <c r="O111" i="12"/>
  <c r="N111" i="12"/>
  <c r="R111" i="12" s="1"/>
  <c r="J112" i="12"/>
  <c r="L112" i="12" s="1"/>
  <c r="O113" i="12"/>
  <c r="N119" i="12"/>
  <c r="R120" i="12"/>
  <c r="P129" i="12"/>
  <c r="J134" i="12"/>
  <c r="L134" i="12" s="1"/>
  <c r="P136" i="12"/>
  <c r="P140" i="12"/>
  <c r="O140" i="12"/>
  <c r="R140" i="12" s="1"/>
  <c r="J141" i="12"/>
  <c r="L141" i="12" s="1"/>
  <c r="O142" i="12"/>
  <c r="P143" i="12"/>
  <c r="P110" i="12"/>
  <c r="O110" i="12"/>
  <c r="R110" i="12" s="1"/>
  <c r="J111" i="12"/>
  <c r="L111" i="12" s="1"/>
  <c r="O112" i="12"/>
  <c r="R112" i="12" s="1"/>
  <c r="P113" i="12"/>
  <c r="O117" i="12"/>
  <c r="N117" i="12"/>
  <c r="R117" i="12" s="1"/>
  <c r="J118" i="12"/>
  <c r="L118" i="12" s="1"/>
  <c r="O119" i="12"/>
  <c r="N125" i="12"/>
  <c r="R125" i="12" s="1"/>
  <c r="R126" i="12"/>
  <c r="R127" i="12"/>
  <c r="N128" i="12"/>
  <c r="P135" i="12"/>
  <c r="J140" i="12"/>
  <c r="L140" i="12" s="1"/>
  <c r="P142" i="12"/>
  <c r="P116" i="12"/>
  <c r="O116" i="12"/>
  <c r="R116" i="12" s="1"/>
  <c r="O123" i="12"/>
  <c r="N123" i="12"/>
  <c r="R123" i="12" s="1"/>
  <c r="J94" i="12"/>
  <c r="L94" i="12" s="1"/>
  <c r="J99" i="12"/>
  <c r="L99" i="12" s="1"/>
  <c r="J104" i="12"/>
  <c r="L104" i="12" s="1"/>
  <c r="P122" i="12"/>
  <c r="O122" i="12"/>
  <c r="R122" i="12" s="1"/>
  <c r="J130" i="12"/>
  <c r="L130" i="12" s="1"/>
  <c r="O144" i="12" l="1"/>
  <c r="R102" i="12"/>
  <c r="R119" i="12"/>
  <c r="R101" i="12"/>
  <c r="R128" i="12"/>
  <c r="R99" i="12"/>
  <c r="R92" i="12"/>
  <c r="N144" i="12"/>
  <c r="R135" i="12"/>
  <c r="R95" i="12"/>
  <c r="R105" i="12"/>
  <c r="R98" i="12"/>
  <c r="R108" i="12"/>
  <c r="R137" i="12"/>
  <c r="J144" i="12"/>
  <c r="R142" i="12"/>
  <c r="R104" i="12"/>
  <c r="R107" i="12"/>
  <c r="R129" i="12"/>
  <c r="R144" i="12" l="1"/>
  <c r="F84" i="12" l="1"/>
  <c r="F74" i="12"/>
  <c r="F77" i="12" s="1"/>
  <c r="F79" i="12" s="1"/>
  <c r="E60" i="12" l="1"/>
  <c r="D62" i="12"/>
  <c r="C62" i="12"/>
  <c r="E61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62" i="12" l="1"/>
</calcChain>
</file>

<file path=xl/sharedStrings.xml><?xml version="1.0" encoding="utf-8"?>
<sst xmlns="http://schemas.openxmlformats.org/spreadsheetml/2006/main" count="193" uniqueCount="133">
  <si>
    <t xml:space="preserve">No. </t>
  </si>
  <si>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</si>
  <si>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</si>
  <si>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</si>
  <si>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</si>
  <si>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</si>
  <si>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</si>
  <si>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</si>
  <si>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</si>
  <si>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</si>
  <si>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</si>
  <si>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</si>
  <si>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</si>
  <si>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Pueblo Nuevo Viñas</t>
  </si>
  <si>
    <t>Jalapa</t>
  </si>
  <si>
    <t>Jutiapa</t>
  </si>
  <si>
    <t>Huehuetenango</t>
  </si>
  <si>
    <t>Chiantla</t>
  </si>
  <si>
    <t>Aguacatán</t>
  </si>
  <si>
    <t>Uspantán</t>
  </si>
  <si>
    <t>Chiquimula</t>
  </si>
  <si>
    <t>Guastatoya</t>
  </si>
  <si>
    <t>Usumatlan</t>
  </si>
  <si>
    <t>Morales</t>
  </si>
  <si>
    <t>Puerto Barrios</t>
  </si>
  <si>
    <t>San Marcos</t>
  </si>
  <si>
    <t>Tejutla</t>
  </si>
  <si>
    <t>Retalhuleu</t>
  </si>
  <si>
    <t>Totonicapán</t>
  </si>
  <si>
    <t>San Fernando El Chahal</t>
  </si>
  <si>
    <t>Antigua Guatemala</t>
  </si>
  <si>
    <t>Fronteras, Rio Dulce, Livingston</t>
  </si>
  <si>
    <t>TOTAL</t>
  </si>
  <si>
    <t>MINISTERIO DE COMUNICACIONES INFRAESTRUCTURA Y VIVIENDA</t>
  </si>
  <si>
    <t>La Blanca</t>
  </si>
  <si>
    <t>El Palmar</t>
  </si>
  <si>
    <t>San Felipe</t>
  </si>
  <si>
    <t>Central</t>
  </si>
  <si>
    <t>Todos Santos Cuchumatanes</t>
  </si>
  <si>
    <t>San Pedro La Laguna</t>
  </si>
  <si>
    <t>Salamá, Baja Verapaz</t>
  </si>
  <si>
    <t>Quetzaltenángo</t>
  </si>
  <si>
    <t>Pan Pablo La Laguna</t>
  </si>
  <si>
    <t xml:space="preserve">Santa Cruz del Quiche </t>
  </si>
  <si>
    <t>Playa Grande Ixcán</t>
  </si>
  <si>
    <t>Santa Lucía Cotzumalguapa</t>
  </si>
  <si>
    <t>Nentón</t>
  </si>
  <si>
    <t xml:space="preserve">San Mateo Ixtatán </t>
  </si>
  <si>
    <t>Cobán, Alta Verapaz</t>
  </si>
  <si>
    <t>San Juan Sacatepequez</t>
  </si>
  <si>
    <t>Amatitlán</t>
  </si>
  <si>
    <t>El Rico</t>
  </si>
  <si>
    <t>Esquipulas</t>
  </si>
  <si>
    <t>Concepción Sololá</t>
  </si>
  <si>
    <t>La Union</t>
  </si>
  <si>
    <t>Concepcion Las Minas</t>
  </si>
  <si>
    <t>Puerto de San Jose</t>
  </si>
  <si>
    <t>San José La Máquina</t>
  </si>
  <si>
    <t>San Jerónimo</t>
  </si>
  <si>
    <t>Morazán</t>
  </si>
  <si>
    <t>Ocos</t>
  </si>
  <si>
    <t>Cubulco</t>
  </si>
  <si>
    <t>METAS FISICAS  SEPTIEMBRE 2021</t>
  </si>
  <si>
    <t>SEPTIEMBRE</t>
  </si>
  <si>
    <t>DEPARTAMENTO DE OPERACIONES POSTALES</t>
  </si>
  <si>
    <t>METAS FISICAS ENTREGA PAQUETERIA SEPTIEMBRE 2,021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</si>
  <si>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</si>
  <si>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</si>
  <si>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</si>
  <si>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</si>
  <si>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</si>
  <si>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</si>
  <si>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</si>
  <si>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</si>
  <si>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</si>
  <si>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</si>
  <si>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</si>
  <si>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</si>
  <si>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Xinka</t>
  </si>
  <si>
    <t>Otro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</si>
  <si>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</si>
  <si>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</si>
  <si>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</si>
  <si>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</si>
  <si>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</si>
  <si>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</si>
  <si>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</si>
  <si>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</si>
  <si>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</si>
  <si>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</si>
  <si>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</si>
  <si>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</si>
  <si>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Correo Central</t>
  </si>
  <si>
    <t>Todos Santos Cuchumatán</t>
  </si>
  <si>
    <t>Quetzaltenango</t>
  </si>
  <si>
    <t>San Pablo La Laguna</t>
  </si>
  <si>
    <t>San Juan Sacatepéquez</t>
  </si>
  <si>
    <t>La Unión</t>
  </si>
  <si>
    <t>Usumatlán</t>
  </si>
  <si>
    <t>Concepción Las Minas</t>
  </si>
  <si>
    <t>Puerto de San José</t>
  </si>
  <si>
    <t>TOTALES GENERALES</t>
  </si>
  <si>
    <t>DIRECCIÓN GENERAL DE CORREOS Y TELÉGRAFOS</t>
  </si>
  <si>
    <r>
      <t>Departamento Operaciones</t>
    </r>
    <r>
      <rPr>
        <b/>
        <u/>
        <sz val="12"/>
        <color rgb="FF000000"/>
        <rFont val="Garamond"/>
        <family val="1"/>
      </rPr>
      <t xml:space="preserve"> </t>
    </r>
    <r>
      <rPr>
        <b/>
        <sz val="12"/>
        <color rgb="FF000000"/>
        <rFont val="Garamond"/>
        <family val="1"/>
      </rPr>
      <t>Postales</t>
    </r>
    <r>
      <rPr>
        <b/>
        <u/>
        <sz val="12"/>
        <color rgb="FF000000"/>
        <rFont val="Garamond"/>
        <family val="1"/>
      </rPr>
      <t xml:space="preserve">                 </t>
    </r>
  </si>
  <si>
    <t xml:space="preserve">Informe de Actividades de Septiembre </t>
  </si>
  <si>
    <t>Cuadro No. 1</t>
  </si>
  <si>
    <t>Actividades Dinámicas</t>
  </si>
  <si>
    <t>Asunto o Problema</t>
  </si>
  <si>
    <t>Actividad realizada</t>
  </si>
  <si>
    <t>Situación actual</t>
  </si>
  <si>
    <t xml:space="preserve">Avance             </t>
  </si>
  <si>
    <t xml:space="preserve"> %</t>
  </si>
  <si>
    <t>Actividad pendiente</t>
  </si>
  <si>
    <t>Responsable</t>
  </si>
  <si>
    <t>Metas Físicas</t>
  </si>
  <si>
    <t>Entrega de piezas postales  por parte de las Agencias de la Dirección General de Correos y Telégrafos.</t>
  </si>
  <si>
    <t>Informe de cumplimiento trasladado a la Unidad de Planificación y Desarrollo Institucional, cumpliendo 43,079 de las 68,392 metas proyectadas para el mes de Agosto  de 2,021.</t>
  </si>
  <si>
    <t>-----------</t>
  </si>
  <si>
    <t>Coordinador del Departamento de Operaciones Postales,</t>
  </si>
  <si>
    <t>Técnicos Operativos.</t>
  </si>
  <si>
    <t>Informe general mensual del Departamento de Operaciones Postales</t>
  </si>
  <si>
    <t>Reporte de las actividades relevantes realizadas durante el mes para conocimiento del  Director General de la DGCT, y Departamento de Control de Gestión de la DGCYT.</t>
  </si>
  <si>
    <t>Trasladado  al Director General del Ramo.</t>
  </si>
  <si>
    <t>------------------</t>
  </si>
  <si>
    <t>Coordinador del Departamento de Operaciones Postales, Técnicos Operativos.</t>
  </si>
  <si>
    <t>Anomalías en encomiendas Postales que ingresan a Guatemala.</t>
  </si>
  <si>
    <t>Verificación de ingreso y apertura de envíos postales en Almacén de Fardos Postales, de administraciones postales de origen.</t>
  </si>
  <si>
    <t>Cumplido</t>
  </si>
  <si>
    <t>-----------------</t>
  </si>
  <si>
    <t>Fardos Postales en Zona 1</t>
  </si>
  <si>
    <t>Ingreso de planta de procesamiento postal a Fardos Postales zona 1, sacas con envíos internacionales de diferentes categorías para ser entregados por la Aduana a los Clientes.</t>
  </si>
  <si>
    <t>Planta de Procesamiento Postal</t>
  </si>
  <si>
    <t xml:space="preserve">Ingreso a Planta de Procesamiento Postal, sacas con envíos internacionales de diferentes categorías provenientes de diferentes administraciones postales de los países miembros de UPU.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</si>
</sst>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Garamond"/>
      <family val="1"/>
    </font>
    <font>
      <b/>
      <u/>
      <sz val="12"/>
      <color rgb="FF000000"/>
      <name val="Garamond"/>
      <family val="1"/>
    </font>
    <font>
      <b/>
      <sz val="9"/>
      <color rgb="FF000000"/>
      <name val="Garamond"/>
      <family val="1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0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1" fontId="0" fillId="0" borderId="6" xfId="1" applyNumberFormat="1" applyFont="1" applyBorder="1" applyAlignment="1">
      <alignment horizontal="center" vertical="center"/>
    </xf>
    <xf numFmtId="1" fontId="0" fillId="3" borderId="24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" fontId="0" fillId="3" borderId="6" xfId="1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3" fillId="3" borderId="8" xfId="2" applyFont="1" applyFill="1" applyBorder="1"/>
    <xf numFmtId="3" fontId="13" fillId="3" borderId="8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/>
    </xf>
    <xf numFmtId="3" fontId="13" fillId="3" borderId="31" xfId="0" applyNumberFormat="1" applyFont="1" applyFill="1" applyBorder="1" applyAlignment="1">
      <alignment horizontal="center"/>
    </xf>
    <xf numFmtId="3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8" xfId="0" applyBorder="1" applyAlignment="1">
      <alignment vertical="top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9" fontId="17" fillId="0" borderId="18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9" fontId="17" fillId="0" borderId="33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0" fontId="17" fillId="0" borderId="12" xfId="0" applyNumberFormat="1" applyFont="1" applyBorder="1" applyAlignment="1">
      <alignment horizontal="center" vertical="center" wrapText="1"/>
    </xf>
    <xf numFmtId="10" fontId="17" fillId="0" borderId="20" xfId="0" applyNumberFormat="1" applyFont="1" applyBorder="1" applyAlignment="1">
      <alignment horizontal="center"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9" fontId="17" fillId="0" borderId="20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3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1</xdr:row>
      <xdr:rowOff>57150</xdr:rowOff>
    </xdr:from>
    <xdr:to>
      <xdr:col>4</xdr:col>
      <xdr:colOff>2085183</xdr:colOff>
      <xdr:row>5</xdr:row>
      <xdr:rowOff>104776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57149</xdr:rowOff>
    </xdr:from>
    <xdr:to>
      <xdr:col>1</xdr:col>
      <xdr:colOff>1609725</xdr:colOff>
      <xdr:row>5</xdr:row>
      <xdr:rowOff>167654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0"/>
  <sheetViews>
    <sheetView tabSelected="1" zoomScaleNormal="100" workbookViewId="0">
      <selection sqref="A1:E1"/>
    </sheetView>
  </sheetViews>
  <sheetFormatPr baseColWidth="10" defaultRowHeight="16.5" x14ac:dyDescent="0.3"/>
  <cols>
    <col min="1" max="1" width="4.85546875" style="15" bestFit="1" customWidth="1"/>
    <col min="2" max="2" width="38.7109375" style="2" customWidth="1"/>
    <col min="3" max="3" width="19.85546875" style="2" customWidth="1"/>
    <col min="4" max="4" width="16.85546875" style="2" customWidth="1"/>
    <col min="5" max="5" width="31.42578125" style="2" customWidth="1"/>
    <col min="6" max="6" width="11.42578125" style="2"/>
    <col min="7" max="7" width="12.7109375" style="2" customWidth="1"/>
    <col min="8" max="12" width="11.42578125" style="2"/>
    <col min="13" max="13" width="0.7109375" style="2" customWidth="1"/>
    <col min="14" max="16384" width="11.42578125" style="2"/>
  </cols>
  <sheetData>
    <row r="1" spans="1:5" x14ac:dyDescent="0.3">
      <c r="A1" s="17" t="s">
        <v>33</v>
      </c>
      <c r="B1" s="17"/>
      <c r="C1" s="17"/>
      <c r="D1" s="17"/>
      <c r="E1" s="17"/>
    </row>
    <row r="2" spans="1:5" x14ac:dyDescent="0.3">
      <c r="A2" s="17" t="s">
        <v>5</v>
      </c>
      <c r="B2" s="17"/>
      <c r="C2" s="17"/>
      <c r="D2" s="17"/>
      <c r="E2" s="17"/>
    </row>
    <row r="3" spans="1:5" x14ac:dyDescent="0.3">
      <c r="A3" s="17" t="s">
        <v>6</v>
      </c>
      <c r="B3" s="17"/>
      <c r="C3" s="17"/>
      <c r="D3" s="17"/>
      <c r="E3" s="17"/>
    </row>
    <row r="5" spans="1:5" x14ac:dyDescent="0.3">
      <c r="A5" s="17" t="s">
        <v>62</v>
      </c>
      <c r="B5" s="17"/>
      <c r="C5" s="17"/>
      <c r="D5" s="17"/>
      <c r="E5" s="17"/>
    </row>
    <row r="7" spans="1:5" x14ac:dyDescent="0.3">
      <c r="A7" s="18" t="s">
        <v>0</v>
      </c>
      <c r="B7" s="18" t="s">
        <v>1</v>
      </c>
      <c r="C7" s="21" t="s">
        <v>63</v>
      </c>
      <c r="D7" s="22"/>
      <c r="E7" s="23"/>
    </row>
    <row r="8" spans="1:5" ht="17.25" thickBot="1" x14ac:dyDescent="0.35">
      <c r="A8" s="19"/>
      <c r="B8" s="20"/>
      <c r="C8" s="1" t="s">
        <v>2</v>
      </c>
      <c r="D8" s="1" t="s">
        <v>3</v>
      </c>
      <c r="E8" s="1" t="s">
        <v>4</v>
      </c>
    </row>
    <row r="9" spans="1:5" x14ac:dyDescent="0.3">
      <c r="A9" s="12">
        <v>1</v>
      </c>
      <c r="B9" s="11" t="s">
        <v>37</v>
      </c>
      <c r="C9" s="6">
        <v>13322</v>
      </c>
      <c r="D9" s="6">
        <v>10012</v>
      </c>
      <c r="E9" s="3">
        <f>+C9+D9</f>
        <v>23334</v>
      </c>
    </row>
    <row r="10" spans="1:5" x14ac:dyDescent="0.3">
      <c r="A10" s="12">
        <v>2</v>
      </c>
      <c r="B10" s="7" t="s">
        <v>38</v>
      </c>
      <c r="C10" s="4">
        <v>104</v>
      </c>
      <c r="D10" s="4">
        <v>46</v>
      </c>
      <c r="E10" s="3">
        <f t="shared" ref="E10:E60" si="0">+C10+D10</f>
        <v>150</v>
      </c>
    </row>
    <row r="11" spans="1:5" x14ac:dyDescent="0.3">
      <c r="A11" s="12">
        <v>3</v>
      </c>
      <c r="B11" s="7" t="s">
        <v>39</v>
      </c>
      <c r="C11" s="4">
        <v>225</v>
      </c>
      <c r="D11" s="4">
        <v>149</v>
      </c>
      <c r="E11" s="3">
        <f t="shared" si="0"/>
        <v>374</v>
      </c>
    </row>
    <row r="12" spans="1:5" x14ac:dyDescent="0.3">
      <c r="A12" s="12">
        <v>4</v>
      </c>
      <c r="B12" s="7" t="s">
        <v>40</v>
      </c>
      <c r="C12" s="4">
        <v>118</v>
      </c>
      <c r="D12" s="4">
        <v>63</v>
      </c>
      <c r="E12" s="3">
        <f t="shared" si="0"/>
        <v>181</v>
      </c>
    </row>
    <row r="13" spans="1:5" x14ac:dyDescent="0.3">
      <c r="A13" s="12">
        <v>5</v>
      </c>
      <c r="B13" s="8" t="s">
        <v>15</v>
      </c>
      <c r="C13" s="4">
        <v>481</v>
      </c>
      <c r="D13" s="4">
        <v>173</v>
      </c>
      <c r="E13" s="3">
        <f t="shared" si="0"/>
        <v>654</v>
      </c>
    </row>
    <row r="14" spans="1:5" x14ac:dyDescent="0.3">
      <c r="A14" s="12">
        <v>6</v>
      </c>
      <c r="B14" s="7" t="s">
        <v>18</v>
      </c>
      <c r="C14" s="4">
        <v>77</v>
      </c>
      <c r="D14" s="4">
        <v>33</v>
      </c>
      <c r="E14" s="3">
        <f t="shared" si="0"/>
        <v>110</v>
      </c>
    </row>
    <row r="15" spans="1:5" x14ac:dyDescent="0.3">
      <c r="A15" s="12">
        <v>7</v>
      </c>
      <c r="B15" s="8" t="s">
        <v>9</v>
      </c>
      <c r="C15" s="4">
        <v>210</v>
      </c>
      <c r="D15" s="4">
        <v>129</v>
      </c>
      <c r="E15" s="3">
        <f t="shared" si="0"/>
        <v>339</v>
      </c>
    </row>
    <row r="16" spans="1:5" x14ac:dyDescent="0.3">
      <c r="A16" s="12">
        <v>8</v>
      </c>
      <c r="B16" s="7" t="s">
        <v>41</v>
      </c>
      <c r="C16" s="4">
        <v>711</v>
      </c>
      <c r="D16" s="4">
        <v>536</v>
      </c>
      <c r="E16" s="3">
        <f t="shared" si="0"/>
        <v>1247</v>
      </c>
    </row>
    <row r="17" spans="1:5" x14ac:dyDescent="0.3">
      <c r="A17" s="12">
        <v>9</v>
      </c>
      <c r="B17" s="8" t="s">
        <v>30</v>
      </c>
      <c r="C17" s="4">
        <v>530</v>
      </c>
      <c r="D17" s="4">
        <v>436</v>
      </c>
      <c r="E17" s="3">
        <f t="shared" si="0"/>
        <v>966</v>
      </c>
    </row>
    <row r="18" spans="1:5" x14ac:dyDescent="0.3">
      <c r="A18" s="12">
        <v>10</v>
      </c>
      <c r="B18" s="8" t="s">
        <v>7</v>
      </c>
      <c r="C18" s="4">
        <v>1507</v>
      </c>
      <c r="D18" s="4">
        <v>1223</v>
      </c>
      <c r="E18" s="3">
        <f t="shared" si="0"/>
        <v>2730</v>
      </c>
    </row>
    <row r="19" spans="1:5" x14ac:dyDescent="0.3">
      <c r="A19" s="12">
        <v>11</v>
      </c>
      <c r="B19" s="7" t="s">
        <v>16</v>
      </c>
      <c r="C19" s="4">
        <v>688</v>
      </c>
      <c r="D19" s="4">
        <v>324</v>
      </c>
      <c r="E19" s="3">
        <f t="shared" si="0"/>
        <v>1012</v>
      </c>
    </row>
    <row r="20" spans="1:5" x14ac:dyDescent="0.3">
      <c r="A20" s="12">
        <v>12</v>
      </c>
      <c r="B20" s="7" t="s">
        <v>42</v>
      </c>
      <c r="C20" s="4">
        <v>50</v>
      </c>
      <c r="D20" s="4">
        <v>43</v>
      </c>
      <c r="E20" s="3">
        <f t="shared" si="0"/>
        <v>93</v>
      </c>
    </row>
    <row r="21" spans="1:5" x14ac:dyDescent="0.3">
      <c r="A21" s="12">
        <v>13</v>
      </c>
      <c r="B21" s="7" t="s">
        <v>25</v>
      </c>
      <c r="C21" s="4">
        <v>570</v>
      </c>
      <c r="D21" s="4">
        <v>216</v>
      </c>
      <c r="E21" s="3">
        <f t="shared" si="0"/>
        <v>786</v>
      </c>
    </row>
    <row r="22" spans="1:5" x14ac:dyDescent="0.3">
      <c r="A22" s="12">
        <v>14</v>
      </c>
      <c r="B22" s="7" t="s">
        <v>26</v>
      </c>
      <c r="C22" s="4">
        <v>296</v>
      </c>
      <c r="D22" s="4">
        <v>210</v>
      </c>
      <c r="E22" s="3">
        <f t="shared" si="0"/>
        <v>506</v>
      </c>
    </row>
    <row r="23" spans="1:5" x14ac:dyDescent="0.3">
      <c r="A23" s="12">
        <v>15</v>
      </c>
      <c r="B23" s="7" t="s">
        <v>27</v>
      </c>
      <c r="C23" s="4">
        <v>362</v>
      </c>
      <c r="D23" s="4">
        <v>237</v>
      </c>
      <c r="E23" s="3">
        <f t="shared" si="0"/>
        <v>599</v>
      </c>
    </row>
    <row r="24" spans="1:5" x14ac:dyDescent="0.3">
      <c r="A24" s="12">
        <v>16</v>
      </c>
      <c r="B24" s="7" t="s">
        <v>28</v>
      </c>
      <c r="C24" s="4">
        <v>248</v>
      </c>
      <c r="D24" s="4">
        <v>109</v>
      </c>
      <c r="E24" s="3">
        <f t="shared" si="0"/>
        <v>357</v>
      </c>
    </row>
    <row r="25" spans="1:5" x14ac:dyDescent="0.3">
      <c r="A25" s="12">
        <v>17</v>
      </c>
      <c r="B25" s="7" t="s">
        <v>43</v>
      </c>
      <c r="C25" s="4">
        <v>437</v>
      </c>
      <c r="D25" s="4">
        <v>332</v>
      </c>
      <c r="E25" s="3">
        <f t="shared" si="0"/>
        <v>769</v>
      </c>
    </row>
    <row r="26" spans="1:5" x14ac:dyDescent="0.3">
      <c r="A26" s="12">
        <v>18</v>
      </c>
      <c r="B26" s="7" t="s">
        <v>19</v>
      </c>
      <c r="C26" s="4">
        <v>217</v>
      </c>
      <c r="D26" s="4">
        <v>116</v>
      </c>
      <c r="E26" s="3">
        <f t="shared" si="0"/>
        <v>333</v>
      </c>
    </row>
    <row r="27" spans="1:5" x14ac:dyDescent="0.3">
      <c r="A27" s="12">
        <v>19</v>
      </c>
      <c r="B27" s="7" t="s">
        <v>44</v>
      </c>
      <c r="C27" s="4">
        <v>46</v>
      </c>
      <c r="D27" s="4">
        <v>27</v>
      </c>
      <c r="E27" s="3">
        <f t="shared" si="0"/>
        <v>73</v>
      </c>
    </row>
    <row r="28" spans="1:5" x14ac:dyDescent="0.3">
      <c r="A28" s="12">
        <v>20</v>
      </c>
      <c r="B28" s="9" t="s">
        <v>21</v>
      </c>
      <c r="C28" s="4">
        <v>94</v>
      </c>
      <c r="D28" s="4">
        <v>56</v>
      </c>
      <c r="E28" s="3">
        <f t="shared" si="0"/>
        <v>150</v>
      </c>
    </row>
    <row r="29" spans="1:5" x14ac:dyDescent="0.3">
      <c r="A29" s="12">
        <v>21</v>
      </c>
      <c r="B29" s="8" t="s">
        <v>45</v>
      </c>
      <c r="C29" s="4">
        <v>319</v>
      </c>
      <c r="D29" s="4">
        <v>149</v>
      </c>
      <c r="E29" s="3">
        <f t="shared" si="0"/>
        <v>468</v>
      </c>
    </row>
    <row r="30" spans="1:5" x14ac:dyDescent="0.3">
      <c r="A30" s="12">
        <v>22</v>
      </c>
      <c r="B30" s="8" t="s">
        <v>11</v>
      </c>
      <c r="C30" s="4">
        <v>111</v>
      </c>
      <c r="D30" s="4">
        <v>96</v>
      </c>
      <c r="E30" s="3">
        <f t="shared" si="0"/>
        <v>207</v>
      </c>
    </row>
    <row r="31" spans="1:5" x14ac:dyDescent="0.3">
      <c r="A31" s="12">
        <v>23</v>
      </c>
      <c r="B31" s="8" t="s">
        <v>10</v>
      </c>
      <c r="C31" s="4">
        <v>122</v>
      </c>
      <c r="D31" s="4">
        <v>50</v>
      </c>
      <c r="E31" s="3">
        <f t="shared" si="0"/>
        <v>172</v>
      </c>
    </row>
    <row r="32" spans="1:5" x14ac:dyDescent="0.3">
      <c r="A32" s="12">
        <v>24</v>
      </c>
      <c r="B32" s="7" t="s">
        <v>17</v>
      </c>
      <c r="C32" s="4">
        <v>45</v>
      </c>
      <c r="D32" s="4">
        <v>34</v>
      </c>
      <c r="E32" s="3">
        <f t="shared" si="0"/>
        <v>79</v>
      </c>
    </row>
    <row r="33" spans="1:5" x14ac:dyDescent="0.3">
      <c r="A33" s="12">
        <v>25</v>
      </c>
      <c r="B33" s="7" t="s">
        <v>46</v>
      </c>
      <c r="C33" s="4">
        <v>0</v>
      </c>
      <c r="D33" s="4">
        <v>0</v>
      </c>
      <c r="E33" s="3">
        <f t="shared" si="0"/>
        <v>0</v>
      </c>
    </row>
    <row r="34" spans="1:5" x14ac:dyDescent="0.3">
      <c r="A34" s="12">
        <v>26</v>
      </c>
      <c r="B34" s="7" t="s">
        <v>47</v>
      </c>
      <c r="C34" s="4">
        <v>124</v>
      </c>
      <c r="D34" s="4">
        <v>82</v>
      </c>
      <c r="E34" s="3">
        <f t="shared" si="0"/>
        <v>206</v>
      </c>
    </row>
    <row r="35" spans="1:5" x14ac:dyDescent="0.3">
      <c r="A35" s="12">
        <v>27</v>
      </c>
      <c r="B35" s="7" t="s">
        <v>48</v>
      </c>
      <c r="C35" s="4">
        <v>688</v>
      </c>
      <c r="D35" s="4">
        <v>297</v>
      </c>
      <c r="E35" s="3">
        <f t="shared" si="0"/>
        <v>985</v>
      </c>
    </row>
    <row r="36" spans="1:5" x14ac:dyDescent="0.3">
      <c r="A36" s="12">
        <v>28</v>
      </c>
      <c r="B36" s="9" t="s">
        <v>24</v>
      </c>
      <c r="C36" s="4">
        <v>306</v>
      </c>
      <c r="D36" s="4">
        <v>145</v>
      </c>
      <c r="E36" s="3">
        <f t="shared" si="0"/>
        <v>451</v>
      </c>
    </row>
    <row r="37" spans="1:5" x14ac:dyDescent="0.3">
      <c r="A37" s="12">
        <v>29</v>
      </c>
      <c r="B37" s="9" t="s">
        <v>23</v>
      </c>
      <c r="C37" s="4">
        <v>144</v>
      </c>
      <c r="D37" s="4">
        <v>76</v>
      </c>
      <c r="E37" s="3">
        <f t="shared" si="0"/>
        <v>220</v>
      </c>
    </row>
    <row r="38" spans="1:5" x14ac:dyDescent="0.3">
      <c r="A38" s="12">
        <v>30</v>
      </c>
      <c r="B38" s="9" t="s">
        <v>20</v>
      </c>
      <c r="C38" s="4">
        <v>252</v>
      </c>
      <c r="D38" s="4">
        <v>128</v>
      </c>
      <c r="E38" s="3">
        <f t="shared" si="0"/>
        <v>380</v>
      </c>
    </row>
    <row r="39" spans="1:5" x14ac:dyDescent="0.3">
      <c r="A39" s="12">
        <v>31</v>
      </c>
      <c r="B39" s="8" t="s">
        <v>14</v>
      </c>
      <c r="C39" s="4">
        <v>142</v>
      </c>
      <c r="D39" s="4">
        <v>77</v>
      </c>
      <c r="E39" s="3">
        <f t="shared" si="0"/>
        <v>219</v>
      </c>
    </row>
    <row r="40" spans="1:5" x14ac:dyDescent="0.3">
      <c r="A40" s="12">
        <v>32</v>
      </c>
      <c r="B40" s="8" t="s">
        <v>49</v>
      </c>
      <c r="C40" s="4">
        <v>225</v>
      </c>
      <c r="D40" s="4">
        <v>125</v>
      </c>
      <c r="E40" s="3">
        <f t="shared" si="0"/>
        <v>350</v>
      </c>
    </row>
    <row r="41" spans="1:5" x14ac:dyDescent="0.3">
      <c r="A41" s="12">
        <v>33</v>
      </c>
      <c r="B41" s="8" t="s">
        <v>12</v>
      </c>
      <c r="C41" s="4">
        <v>53</v>
      </c>
      <c r="D41" s="4">
        <v>53</v>
      </c>
      <c r="E41" s="3">
        <f t="shared" si="0"/>
        <v>106</v>
      </c>
    </row>
    <row r="42" spans="1:5" x14ac:dyDescent="0.3">
      <c r="A42" s="12">
        <v>34</v>
      </c>
      <c r="B42" s="8" t="s">
        <v>50</v>
      </c>
      <c r="C42" s="4">
        <v>409</v>
      </c>
      <c r="D42" s="4">
        <v>170</v>
      </c>
      <c r="E42" s="3">
        <f t="shared" si="0"/>
        <v>579</v>
      </c>
    </row>
    <row r="43" spans="1:5" x14ac:dyDescent="0.3">
      <c r="A43" s="12">
        <v>35</v>
      </c>
      <c r="B43" s="9" t="s">
        <v>51</v>
      </c>
      <c r="C43" s="4">
        <v>48</v>
      </c>
      <c r="D43" s="4">
        <v>49</v>
      </c>
      <c r="E43" s="3">
        <f t="shared" si="0"/>
        <v>97</v>
      </c>
    </row>
    <row r="44" spans="1:5" x14ac:dyDescent="0.3">
      <c r="A44" s="12">
        <v>36</v>
      </c>
      <c r="B44" s="9" t="s">
        <v>52</v>
      </c>
      <c r="C44" s="4">
        <v>0</v>
      </c>
      <c r="D44" s="4">
        <v>0</v>
      </c>
      <c r="E44" s="3">
        <f t="shared" si="0"/>
        <v>0</v>
      </c>
    </row>
    <row r="45" spans="1:5" x14ac:dyDescent="0.3">
      <c r="A45" s="12">
        <v>37</v>
      </c>
      <c r="B45" s="8" t="s">
        <v>13</v>
      </c>
      <c r="C45" s="4">
        <v>41</v>
      </c>
      <c r="D45" s="4">
        <v>12</v>
      </c>
      <c r="E45" s="3">
        <f t="shared" si="0"/>
        <v>53</v>
      </c>
    </row>
    <row r="46" spans="1:5" x14ac:dyDescent="0.3">
      <c r="A46" s="12">
        <v>38</v>
      </c>
      <c r="B46" s="7" t="s">
        <v>53</v>
      </c>
      <c r="C46" s="4">
        <v>105</v>
      </c>
      <c r="D46" s="4">
        <v>58</v>
      </c>
      <c r="E46" s="3">
        <f t="shared" si="0"/>
        <v>163</v>
      </c>
    </row>
    <row r="47" spans="1:5" x14ac:dyDescent="0.3">
      <c r="A47" s="12">
        <v>39</v>
      </c>
      <c r="B47" s="9" t="s">
        <v>54</v>
      </c>
      <c r="C47" s="4">
        <v>270</v>
      </c>
      <c r="D47" s="4">
        <v>116</v>
      </c>
      <c r="E47" s="3">
        <f t="shared" si="0"/>
        <v>386</v>
      </c>
    </row>
    <row r="48" spans="1:5" x14ac:dyDescent="0.3">
      <c r="A48" s="12">
        <v>40</v>
      </c>
      <c r="B48" s="9" t="s">
        <v>22</v>
      </c>
      <c r="C48" s="4">
        <v>290</v>
      </c>
      <c r="D48" s="4">
        <v>157</v>
      </c>
      <c r="E48" s="3">
        <f t="shared" si="0"/>
        <v>447</v>
      </c>
    </row>
    <row r="49" spans="1:5" x14ac:dyDescent="0.3">
      <c r="A49" s="12">
        <v>41</v>
      </c>
      <c r="B49" s="9" t="s">
        <v>55</v>
      </c>
      <c r="C49" s="4">
        <v>248</v>
      </c>
      <c r="D49" s="4">
        <v>107</v>
      </c>
      <c r="E49" s="3">
        <f t="shared" si="0"/>
        <v>355</v>
      </c>
    </row>
    <row r="50" spans="1:5" x14ac:dyDescent="0.3">
      <c r="A50" s="12">
        <v>42</v>
      </c>
      <c r="B50" s="9" t="s">
        <v>31</v>
      </c>
      <c r="C50" s="4">
        <v>190</v>
      </c>
      <c r="D50" s="4">
        <v>48</v>
      </c>
      <c r="E50" s="3">
        <f t="shared" si="0"/>
        <v>238</v>
      </c>
    </row>
    <row r="51" spans="1:5" x14ac:dyDescent="0.3">
      <c r="A51" s="12">
        <v>43</v>
      </c>
      <c r="B51" s="8" t="s">
        <v>56</v>
      </c>
      <c r="C51" s="4">
        <v>123</v>
      </c>
      <c r="D51" s="4">
        <v>48</v>
      </c>
      <c r="E51" s="3">
        <f t="shared" si="0"/>
        <v>171</v>
      </c>
    </row>
    <row r="52" spans="1:5" x14ac:dyDescent="0.3">
      <c r="A52" s="12">
        <v>44</v>
      </c>
      <c r="B52" s="7" t="s">
        <v>57</v>
      </c>
      <c r="C52" s="4">
        <v>401</v>
      </c>
      <c r="D52" s="4">
        <v>272</v>
      </c>
      <c r="E52" s="3">
        <f t="shared" si="0"/>
        <v>673</v>
      </c>
    </row>
    <row r="53" spans="1:5" x14ac:dyDescent="0.3">
      <c r="A53" s="12">
        <v>45</v>
      </c>
      <c r="B53" s="7" t="s">
        <v>58</v>
      </c>
      <c r="C53" s="4">
        <v>35</v>
      </c>
      <c r="D53" s="4">
        <v>18</v>
      </c>
      <c r="E53" s="3">
        <f t="shared" si="0"/>
        <v>53</v>
      </c>
    </row>
    <row r="54" spans="1:5" x14ac:dyDescent="0.3">
      <c r="A54" s="12">
        <v>46</v>
      </c>
      <c r="B54" s="9" t="s">
        <v>59</v>
      </c>
      <c r="C54" s="4">
        <v>38</v>
      </c>
      <c r="D54" s="4">
        <v>7</v>
      </c>
      <c r="E54" s="3">
        <f t="shared" si="0"/>
        <v>45</v>
      </c>
    </row>
    <row r="55" spans="1:5" x14ac:dyDescent="0.3">
      <c r="A55" s="12">
        <v>47</v>
      </c>
      <c r="B55" s="7" t="s">
        <v>29</v>
      </c>
      <c r="C55" s="4">
        <v>32</v>
      </c>
      <c r="D55" s="4">
        <v>23</v>
      </c>
      <c r="E55" s="3">
        <f t="shared" si="0"/>
        <v>55</v>
      </c>
    </row>
    <row r="56" spans="1:5" x14ac:dyDescent="0.3">
      <c r="A56" s="12">
        <v>48</v>
      </c>
      <c r="B56" s="8" t="s">
        <v>8</v>
      </c>
      <c r="C56" s="4">
        <v>471</v>
      </c>
      <c r="D56" s="4">
        <v>168</v>
      </c>
      <c r="E56" s="3">
        <f t="shared" si="0"/>
        <v>639</v>
      </c>
    </row>
    <row r="57" spans="1:5" x14ac:dyDescent="0.3">
      <c r="A57" s="12">
        <v>49</v>
      </c>
      <c r="B57" s="8" t="s">
        <v>34</v>
      </c>
      <c r="C57" s="4">
        <v>79</v>
      </c>
      <c r="D57" s="4">
        <v>39</v>
      </c>
      <c r="E57" s="3">
        <f t="shared" si="0"/>
        <v>118</v>
      </c>
    </row>
    <row r="58" spans="1:5" x14ac:dyDescent="0.3">
      <c r="A58" s="12">
        <v>50</v>
      </c>
      <c r="B58" s="8" t="s">
        <v>60</v>
      </c>
      <c r="C58" s="4">
        <v>73</v>
      </c>
      <c r="D58" s="4">
        <v>50</v>
      </c>
      <c r="E58" s="3">
        <f t="shared" si="0"/>
        <v>123</v>
      </c>
    </row>
    <row r="59" spans="1:5" x14ac:dyDescent="0.3">
      <c r="A59" s="12">
        <v>51</v>
      </c>
      <c r="B59" s="8" t="s">
        <v>35</v>
      </c>
      <c r="C59" s="4">
        <v>99</v>
      </c>
      <c r="D59" s="4">
        <v>21</v>
      </c>
      <c r="E59" s="3">
        <f t="shared" si="0"/>
        <v>120</v>
      </c>
    </row>
    <row r="60" spans="1:5" x14ac:dyDescent="0.3">
      <c r="A60" s="12">
        <v>52</v>
      </c>
      <c r="B60" s="10" t="s">
        <v>36</v>
      </c>
      <c r="C60" s="4">
        <v>48</v>
      </c>
      <c r="D60" s="4">
        <v>21</v>
      </c>
      <c r="E60" s="3">
        <f t="shared" si="0"/>
        <v>69</v>
      </c>
    </row>
    <row r="61" spans="1:5" ht="17.25" thickBot="1" x14ac:dyDescent="0.35">
      <c r="A61" s="12">
        <v>53</v>
      </c>
      <c r="B61" s="10" t="s">
        <v>61</v>
      </c>
      <c r="C61" s="4">
        <v>29</v>
      </c>
      <c r="D61" s="4">
        <v>60</v>
      </c>
      <c r="E61" s="5">
        <f>+C61+D61</f>
        <v>89</v>
      </c>
    </row>
    <row r="62" spans="1:5" ht="18" thickBot="1" x14ac:dyDescent="0.35">
      <c r="B62" s="16" t="s">
        <v>32</v>
      </c>
      <c r="C62" s="13">
        <f>SUM(C9:C61)</f>
        <v>25853</v>
      </c>
      <c r="D62" s="13">
        <f>SUM(D9:D61)</f>
        <v>17226</v>
      </c>
      <c r="E62" s="14">
        <f>SUM(E9:E61)</f>
        <v>43079</v>
      </c>
    </row>
    <row r="67" spans="1:6" ht="18.75" x14ac:dyDescent="0.3">
      <c r="A67"/>
      <c r="B67" s="24" t="s">
        <v>64</v>
      </c>
      <c r="C67" s="24"/>
      <c r="D67" s="24"/>
      <c r="E67" s="24"/>
      <c r="F67" s="24"/>
    </row>
    <row r="68" spans="1:6" ht="18.75" x14ac:dyDescent="0.3">
      <c r="A68"/>
      <c r="B68" s="24" t="s">
        <v>65</v>
      </c>
      <c r="C68" s="24"/>
      <c r="D68" s="24"/>
      <c r="E68" s="24"/>
      <c r="F68" s="24"/>
    </row>
    <row r="69" spans="1:6" x14ac:dyDescent="0.3">
      <c r="A69"/>
      <c r="B69" s="25"/>
      <c r="C69" s="25"/>
      <c r="D69" s="25"/>
      <c r="E69" s="25"/>
      <c r="F69" s="25"/>
    </row>
    <row r="70" spans="1:6" x14ac:dyDescent="0.3">
      <c r="A70"/>
      <c r="B70" s="25"/>
      <c r="C70" s="25"/>
      <c r="D70" s="25"/>
      <c r="E70" s="25"/>
      <c r="F70" s="25"/>
    </row>
    <row r="71" spans="1:6" x14ac:dyDescent="0.3">
      <c r="A71"/>
      <c r="B71" s="26" t="s">
        <v>63</v>
      </c>
      <c r="C71" s="26"/>
      <c r="D71" s="26"/>
      <c r="E71" s="26"/>
      <c r="F71" s="26"/>
    </row>
    <row r="72" spans="1:6" x14ac:dyDescent="0.3">
      <c r="A72"/>
      <c r="B72" s="27" t="s">
        <v>66</v>
      </c>
      <c r="C72" s="26" t="s">
        <v>67</v>
      </c>
      <c r="D72" s="26"/>
      <c r="E72" s="26"/>
      <c r="F72" s="28">
        <v>17226</v>
      </c>
    </row>
    <row r="73" spans="1:6" x14ac:dyDescent="0.3">
      <c r="A73"/>
      <c r="B73" s="27"/>
      <c r="C73" s="26" t="s">
        <v>68</v>
      </c>
      <c r="D73" s="26"/>
      <c r="E73" s="26"/>
      <c r="F73" s="28">
        <v>25853</v>
      </c>
    </row>
    <row r="74" spans="1:6" x14ac:dyDescent="0.3">
      <c r="A74"/>
      <c r="B74" s="27"/>
      <c r="C74" s="26" t="s">
        <v>69</v>
      </c>
      <c r="D74" s="26"/>
      <c r="E74" s="26"/>
      <c r="F74" s="29">
        <f>SUM(F72:F73)</f>
        <v>43079</v>
      </c>
    </row>
    <row r="75" spans="1:6" x14ac:dyDescent="0.3">
      <c r="A75"/>
      <c r="B75" s="27" t="s">
        <v>70</v>
      </c>
      <c r="C75" s="26" t="s">
        <v>71</v>
      </c>
      <c r="D75" s="26"/>
      <c r="E75" s="26"/>
      <c r="F75" s="28">
        <v>0</v>
      </c>
    </row>
    <row r="76" spans="1:6" x14ac:dyDescent="0.3">
      <c r="A76"/>
      <c r="B76" s="27"/>
      <c r="C76" s="26" t="s">
        <v>72</v>
      </c>
      <c r="D76" s="26"/>
      <c r="E76" s="26"/>
      <c r="F76" s="28">
        <v>0</v>
      </c>
    </row>
    <row r="77" spans="1:6" x14ac:dyDescent="0.3">
      <c r="A77"/>
      <c r="B77" s="27"/>
      <c r="C77" s="26" t="s">
        <v>73</v>
      </c>
      <c r="D77" s="26"/>
      <c r="E77" s="26"/>
      <c r="F77" s="28">
        <f>+F74</f>
        <v>43079</v>
      </c>
    </row>
    <row r="78" spans="1:6" x14ac:dyDescent="0.3">
      <c r="A78"/>
      <c r="B78" s="27"/>
      <c r="C78" s="26" t="s">
        <v>74</v>
      </c>
      <c r="D78" s="26"/>
      <c r="E78" s="26"/>
      <c r="F78" s="28">
        <v>0</v>
      </c>
    </row>
    <row r="79" spans="1:6" x14ac:dyDescent="0.3">
      <c r="A79"/>
      <c r="B79" s="27"/>
      <c r="C79" s="26" t="s">
        <v>69</v>
      </c>
      <c r="D79" s="26"/>
      <c r="E79" s="26"/>
      <c r="F79" s="29">
        <f>SUM(F75:F78)</f>
        <v>43079</v>
      </c>
    </row>
    <row r="80" spans="1:6" x14ac:dyDescent="0.3">
      <c r="A80"/>
      <c r="B80" s="30" t="s">
        <v>75</v>
      </c>
      <c r="C80" s="26" t="s">
        <v>76</v>
      </c>
      <c r="D80" s="26"/>
      <c r="E80" s="26"/>
      <c r="F80" s="28">
        <v>6964</v>
      </c>
    </row>
    <row r="81" spans="1:18" x14ac:dyDescent="0.3">
      <c r="A81"/>
      <c r="B81" s="31"/>
      <c r="C81" s="32" t="s">
        <v>77</v>
      </c>
      <c r="D81" s="33"/>
      <c r="E81" s="34"/>
      <c r="F81" s="28">
        <v>76</v>
      </c>
    </row>
    <row r="82" spans="1:18" x14ac:dyDescent="0.3">
      <c r="A82"/>
      <c r="B82" s="31"/>
      <c r="C82" s="26" t="s">
        <v>78</v>
      </c>
      <c r="D82" s="26"/>
      <c r="E82" s="26"/>
      <c r="F82" s="28">
        <v>427</v>
      </c>
    </row>
    <row r="83" spans="1:18" x14ac:dyDescent="0.3">
      <c r="A83"/>
      <c r="B83" s="31"/>
      <c r="C83" s="26" t="s">
        <v>79</v>
      </c>
      <c r="D83" s="26"/>
      <c r="E83" s="26"/>
      <c r="F83" s="28">
        <v>35612</v>
      </c>
    </row>
    <row r="84" spans="1:18" x14ac:dyDescent="0.3">
      <c r="A84"/>
      <c r="B84" s="35"/>
      <c r="C84" s="26" t="s">
        <v>69</v>
      </c>
      <c r="D84" s="26"/>
      <c r="E84" s="26"/>
      <c r="F84" s="29">
        <f>SUM(F80:F83)</f>
        <v>43079</v>
      </c>
    </row>
    <row r="86" spans="1:18" ht="36" x14ac:dyDescent="0.55000000000000004">
      <c r="A86"/>
      <c r="B86" s="36" t="s">
        <v>64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ht="36" x14ac:dyDescent="0.55000000000000004">
      <c r="A87"/>
      <c r="B87" s="36" t="s">
        <v>65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ht="17.25" thickBot="1" x14ac:dyDescent="0.35">
      <c r="A88"/>
      <c r="B88" s="37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ht="27" thickBot="1" x14ac:dyDescent="0.35">
      <c r="A89"/>
      <c r="B89" s="38" t="s">
        <v>80</v>
      </c>
      <c r="C89" s="39" t="s">
        <v>81</v>
      </c>
      <c r="D89" s="40" t="s">
        <v>63</v>
      </c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1:18" ht="30.75" thickBot="1" x14ac:dyDescent="0.35">
      <c r="A90"/>
      <c r="B90" s="43"/>
      <c r="C90" s="44"/>
      <c r="D90" s="45" t="s">
        <v>82</v>
      </c>
      <c r="E90" s="45" t="s">
        <v>83</v>
      </c>
      <c r="F90" s="45" t="s">
        <v>32</v>
      </c>
      <c r="G90" s="46"/>
      <c r="H90" s="45" t="s">
        <v>84</v>
      </c>
      <c r="I90" s="45" t="s">
        <v>85</v>
      </c>
      <c r="J90" s="45" t="s">
        <v>86</v>
      </c>
      <c r="K90" s="45" t="s">
        <v>87</v>
      </c>
      <c r="L90" s="45" t="s">
        <v>32</v>
      </c>
      <c r="M90" s="47"/>
      <c r="N90" s="48" t="s">
        <v>88</v>
      </c>
      <c r="O90" s="48" t="s">
        <v>89</v>
      </c>
      <c r="P90" s="48" t="s">
        <v>90</v>
      </c>
      <c r="Q90" s="49" t="s">
        <v>91</v>
      </c>
      <c r="R90" s="48" t="s">
        <v>32</v>
      </c>
    </row>
    <row r="91" spans="1:18" x14ac:dyDescent="0.3">
      <c r="A91" s="50"/>
      <c r="B91" s="51">
        <v>2968</v>
      </c>
      <c r="C91" s="11" t="s">
        <v>92</v>
      </c>
      <c r="D91" s="6">
        <v>13322</v>
      </c>
      <c r="E91" s="6">
        <v>10012</v>
      </c>
      <c r="F91" s="52">
        <f>+D91+E91</f>
        <v>23334</v>
      </c>
      <c r="G91" s="46"/>
      <c r="H91" s="51">
        <v>0</v>
      </c>
      <c r="I91" s="6">
        <v>0</v>
      </c>
      <c r="J91" s="6">
        <f t="shared" ref="J91:J143" si="1">F91</f>
        <v>23334</v>
      </c>
      <c r="K91" s="6">
        <v>0</v>
      </c>
      <c r="L91" s="52">
        <f t="shared" ref="L91:L143" si="2">+H91+I91+J91+K91</f>
        <v>23334</v>
      </c>
      <c r="M91" s="47"/>
      <c r="N91" s="53">
        <f>+F91*7.11052294150263%</f>
        <v>1659.1694231702236</v>
      </c>
      <c r="O91" s="53">
        <f>+F91*0.178472414749099%</f>
        <v>41.644753257554761</v>
      </c>
      <c r="P91" s="53">
        <f>+F91*0.117176670363183%</f>
        <v>27.342004262545121</v>
      </c>
      <c r="Q91" s="53">
        <v>21605.843819309677</v>
      </c>
      <c r="R91" s="54">
        <f t="shared" ref="R91:R122" si="3">SUM(N91:Q91)</f>
        <v>23334</v>
      </c>
    </row>
    <row r="92" spans="1:18" x14ac:dyDescent="0.3">
      <c r="A92" s="50"/>
      <c r="B92" s="55">
        <v>16245</v>
      </c>
      <c r="C92" s="7" t="s">
        <v>93</v>
      </c>
      <c r="D92" s="4">
        <v>104</v>
      </c>
      <c r="E92" s="4">
        <v>46</v>
      </c>
      <c r="F92" s="56">
        <f t="shared" ref="F92:F143" si="4">+D92+E92</f>
        <v>150</v>
      </c>
      <c r="G92" s="46"/>
      <c r="H92" s="57">
        <v>0</v>
      </c>
      <c r="I92" s="58">
        <v>0</v>
      </c>
      <c r="J92" s="58">
        <f t="shared" si="1"/>
        <v>150</v>
      </c>
      <c r="K92" s="58">
        <v>0</v>
      </c>
      <c r="L92" s="56">
        <f t="shared" si="2"/>
        <v>150</v>
      </c>
      <c r="M92" s="47"/>
      <c r="N92" s="53">
        <f>+F92*87.96%</f>
        <v>131.94</v>
      </c>
      <c r="O92" s="53">
        <f>+F92*0.0861326442721792%</f>
        <v>0.12919896640826881</v>
      </c>
      <c r="P92" s="53">
        <f>+F92*0.00993838203140529%</f>
        <v>1.4907573047107936E-2</v>
      </c>
      <c r="Q92" s="53">
        <v>17.903995229576676</v>
      </c>
      <c r="R92" s="54">
        <f t="shared" si="3"/>
        <v>149.98810176903206</v>
      </c>
    </row>
    <row r="93" spans="1:18" x14ac:dyDescent="0.3">
      <c r="A93" s="50"/>
      <c r="B93" s="55">
        <v>16246</v>
      </c>
      <c r="C93" s="7" t="s">
        <v>39</v>
      </c>
      <c r="D93" s="4">
        <v>225</v>
      </c>
      <c r="E93" s="4">
        <v>149</v>
      </c>
      <c r="F93" s="56">
        <f t="shared" si="4"/>
        <v>374</v>
      </c>
      <c r="G93" s="46"/>
      <c r="H93" s="57">
        <v>0</v>
      </c>
      <c r="I93" s="58">
        <v>0</v>
      </c>
      <c r="J93" s="58">
        <f t="shared" si="1"/>
        <v>374</v>
      </c>
      <c r="K93" s="58">
        <v>0</v>
      </c>
      <c r="L93" s="56">
        <f t="shared" si="2"/>
        <v>374</v>
      </c>
      <c r="M93" s="47"/>
      <c r="N93" s="53">
        <f>+F93*96.8893040635217%</f>
        <v>362.36599719757118</v>
      </c>
      <c r="O93" s="53">
        <f>+F93*0.457730032695002%</f>
        <v>1.7119103222793075</v>
      </c>
      <c r="P93" s="53">
        <f>+F93*0.0280242877160206%</f>
        <v>0.10481083605791705</v>
      </c>
      <c r="Q93" s="53">
        <v>9.8172816440915582</v>
      </c>
      <c r="R93" s="54">
        <f t="shared" si="3"/>
        <v>374</v>
      </c>
    </row>
    <row r="94" spans="1:18" x14ac:dyDescent="0.3">
      <c r="A94" s="50"/>
      <c r="B94" s="55">
        <v>16247</v>
      </c>
      <c r="C94" s="7" t="s">
        <v>40</v>
      </c>
      <c r="D94" s="4">
        <v>118</v>
      </c>
      <c r="E94" s="4">
        <v>63</v>
      </c>
      <c r="F94" s="56">
        <f t="shared" si="4"/>
        <v>181</v>
      </c>
      <c r="G94" s="46"/>
      <c r="H94" s="57">
        <v>0</v>
      </c>
      <c r="I94" s="58">
        <v>0</v>
      </c>
      <c r="J94" s="58">
        <f t="shared" si="1"/>
        <v>181</v>
      </c>
      <c r="K94" s="58">
        <v>0</v>
      </c>
      <c r="L94" s="56">
        <f t="shared" si="2"/>
        <v>181</v>
      </c>
      <c r="M94" s="47"/>
      <c r="N94" s="53">
        <f>+F94*22.3040980467254%</f>
        <v>40.370417464572974</v>
      </c>
      <c r="O94" s="53">
        <f>+F94*0.0551512830333206%</f>
        <v>9.9823822290310268E-2</v>
      </c>
      <c r="P94" s="53">
        <f>+F94*0.0245116813481425%</f>
        <v>4.436614324013792E-2</v>
      </c>
      <c r="Q94" s="53">
        <v>140.48539256989653</v>
      </c>
      <c r="R94" s="54">
        <f t="shared" si="3"/>
        <v>180.99999999999994</v>
      </c>
    </row>
    <row r="95" spans="1:18" x14ac:dyDescent="0.3">
      <c r="A95" s="50"/>
      <c r="B95" s="59">
        <v>16248</v>
      </c>
      <c r="C95" s="8" t="s">
        <v>15</v>
      </c>
      <c r="D95" s="4">
        <v>481</v>
      </c>
      <c r="E95" s="4">
        <v>173</v>
      </c>
      <c r="F95" s="60">
        <f t="shared" si="4"/>
        <v>654</v>
      </c>
      <c r="G95" s="46"/>
      <c r="H95" s="59">
        <v>0</v>
      </c>
      <c r="I95" s="61">
        <v>0</v>
      </c>
      <c r="J95" s="61">
        <f t="shared" si="1"/>
        <v>654</v>
      </c>
      <c r="K95" s="61">
        <v>0</v>
      </c>
      <c r="L95" s="60">
        <f t="shared" si="2"/>
        <v>654</v>
      </c>
      <c r="M95" s="47"/>
      <c r="N95" s="53">
        <f>+F95*1.1084452975048%</f>
        <v>7.2492322456813927</v>
      </c>
      <c r="O95" s="53">
        <f>+F95*0.216616397038662%</f>
        <v>1.4166712366328496</v>
      </c>
      <c r="P95" s="53">
        <f>+F95*34.4941047436249%</f>
        <v>225.59144502330687</v>
      </c>
      <c r="Q95" s="53">
        <v>419.74265149437917</v>
      </c>
      <c r="R95" s="54">
        <f t="shared" si="3"/>
        <v>654.00000000000023</v>
      </c>
    </row>
    <row r="96" spans="1:18" x14ac:dyDescent="0.3">
      <c r="A96" s="50"/>
      <c r="B96" s="55">
        <v>16249</v>
      </c>
      <c r="C96" s="7" t="s">
        <v>18</v>
      </c>
      <c r="D96" s="4">
        <v>77</v>
      </c>
      <c r="E96" s="4">
        <v>33</v>
      </c>
      <c r="F96" s="56">
        <f t="shared" si="4"/>
        <v>110</v>
      </c>
      <c r="G96" s="46"/>
      <c r="H96" s="57">
        <v>0</v>
      </c>
      <c r="I96" s="58">
        <v>0</v>
      </c>
      <c r="J96" s="58">
        <f t="shared" si="1"/>
        <v>110</v>
      </c>
      <c r="K96" s="58">
        <v>0</v>
      </c>
      <c r="L96" s="56">
        <f t="shared" si="2"/>
        <v>110</v>
      </c>
      <c r="M96" s="47"/>
      <c r="N96" s="53">
        <f>+F96*88.6306368052896%</f>
        <v>97.49370048581855</v>
      </c>
      <c r="O96" s="53">
        <f>+F96*0.0786179369846998%</f>
        <v>8.6479730683169762E-2</v>
      </c>
      <c r="P96" s="53">
        <f>+F96*0.00201584453806922%</f>
        <v>2.217428991876142E-3</v>
      </c>
      <c r="Q96" s="53">
        <v>12.417602354506469</v>
      </c>
      <c r="R96" s="54">
        <f t="shared" si="3"/>
        <v>110.00000000000006</v>
      </c>
    </row>
    <row r="97" spans="1:18" x14ac:dyDescent="0.3">
      <c r="A97" s="50"/>
      <c r="B97" s="59">
        <v>16250</v>
      </c>
      <c r="C97" s="8" t="s">
        <v>9</v>
      </c>
      <c r="D97" s="4">
        <v>210</v>
      </c>
      <c r="E97" s="4">
        <v>129</v>
      </c>
      <c r="F97" s="56">
        <f t="shared" si="4"/>
        <v>339</v>
      </c>
      <c r="G97" s="46"/>
      <c r="H97" s="57">
        <v>0</v>
      </c>
      <c r="I97" s="58">
        <v>0</v>
      </c>
      <c r="J97" s="58">
        <f t="shared" si="1"/>
        <v>339</v>
      </c>
      <c r="K97" s="58">
        <v>0</v>
      </c>
      <c r="L97" s="56">
        <f t="shared" si="2"/>
        <v>339</v>
      </c>
      <c r="M97" s="47"/>
      <c r="N97" s="53">
        <f>+F97*63.4974480589782%</f>
        <v>215.2563489199361</v>
      </c>
      <c r="O97" s="53">
        <f>+F97*0.152600917667681%</f>
        <v>0.51731711089343857</v>
      </c>
      <c r="P97" s="53">
        <f>+F97*0.115481775532299%</f>
        <v>0.39148321905449357</v>
      </c>
      <c r="Q97" s="53">
        <v>122.83485075011585</v>
      </c>
      <c r="R97" s="54">
        <f t="shared" si="3"/>
        <v>338.99999999999989</v>
      </c>
    </row>
    <row r="98" spans="1:18" x14ac:dyDescent="0.3">
      <c r="A98" s="50"/>
      <c r="B98" s="55">
        <v>16251</v>
      </c>
      <c r="C98" s="7" t="s">
        <v>94</v>
      </c>
      <c r="D98" s="4">
        <v>711</v>
      </c>
      <c r="E98" s="4">
        <v>536</v>
      </c>
      <c r="F98" s="56">
        <f t="shared" si="4"/>
        <v>1247</v>
      </c>
      <c r="G98" s="46"/>
      <c r="H98" s="57">
        <v>0</v>
      </c>
      <c r="I98" s="58">
        <v>0</v>
      </c>
      <c r="J98" s="58">
        <f t="shared" si="1"/>
        <v>1247</v>
      </c>
      <c r="K98" s="58">
        <v>0</v>
      </c>
      <c r="L98" s="56">
        <f t="shared" si="2"/>
        <v>1247</v>
      </c>
      <c r="M98" s="47"/>
      <c r="N98" s="53">
        <f>+F98*46.6647482651379%</f>
        <v>581.90941086626958</v>
      </c>
      <c r="O98" s="53">
        <f>+F98*0.115657476785497%</f>
        <v>1.4422487355151477</v>
      </c>
      <c r="P98" s="53">
        <f>+F98*0.0475911148495346%</f>
        <v>0.59346120217369647</v>
      </c>
      <c r="Q98" s="53">
        <v>663.05487919604241</v>
      </c>
      <c r="R98" s="54">
        <f t="shared" si="3"/>
        <v>1247.0000000000009</v>
      </c>
    </row>
    <row r="99" spans="1:18" x14ac:dyDescent="0.3">
      <c r="A99" s="50"/>
      <c r="B99" s="59">
        <v>16253</v>
      </c>
      <c r="C99" s="8" t="s">
        <v>30</v>
      </c>
      <c r="D99" s="4">
        <v>530</v>
      </c>
      <c r="E99" s="4">
        <v>436</v>
      </c>
      <c r="F99" s="56">
        <f t="shared" si="4"/>
        <v>966</v>
      </c>
      <c r="G99" s="46"/>
      <c r="H99" s="57">
        <v>0</v>
      </c>
      <c r="I99" s="58">
        <v>0</v>
      </c>
      <c r="J99" s="58">
        <f t="shared" si="1"/>
        <v>966</v>
      </c>
      <c r="K99" s="58">
        <v>0</v>
      </c>
      <c r="L99" s="56">
        <f t="shared" si="2"/>
        <v>966</v>
      </c>
      <c r="M99" s="47"/>
      <c r="N99" s="53">
        <f>+F99*11.1586398575585%</f>
        <v>107.79246102401511</v>
      </c>
      <c r="O99" s="53">
        <f>+F99*0.1346245711556%</f>
        <v>1.3004733573630962</v>
      </c>
      <c r="P99" s="53">
        <f>+F99*0.0390845529161419%</f>
        <v>0.37755678116993074</v>
      </c>
      <c r="Q99" s="53">
        <v>856.52950883745154</v>
      </c>
      <c r="R99" s="54">
        <f t="shared" si="3"/>
        <v>965.99999999999966</v>
      </c>
    </row>
    <row r="100" spans="1:18" x14ac:dyDescent="0.3">
      <c r="A100" s="50"/>
      <c r="B100" s="59">
        <v>16255</v>
      </c>
      <c r="C100" s="8" t="s">
        <v>7</v>
      </c>
      <c r="D100" s="4">
        <v>1507</v>
      </c>
      <c r="E100" s="4">
        <v>1223</v>
      </c>
      <c r="F100" s="56">
        <f t="shared" si="4"/>
        <v>2730</v>
      </c>
      <c r="G100" s="46"/>
      <c r="H100" s="57">
        <v>0</v>
      </c>
      <c r="I100" s="58">
        <v>0</v>
      </c>
      <c r="J100" s="58">
        <f t="shared" si="1"/>
        <v>2730</v>
      </c>
      <c r="K100" s="58">
        <v>0</v>
      </c>
      <c r="L100" s="56">
        <f t="shared" si="2"/>
        <v>2730</v>
      </c>
      <c r="M100" s="47"/>
      <c r="N100" s="53">
        <f>+F100*3.07163721995599%</f>
        <v>83.855696104798525</v>
      </c>
      <c r="O100" s="53">
        <f>+F100*0.111953262729858%</f>
        <v>3.0563240725251233</v>
      </c>
      <c r="P100" s="53">
        <f>+F100*0.113240081841696%</f>
        <v>3.0914542342783009</v>
      </c>
      <c r="Q100" s="53">
        <v>2639.9965255883967</v>
      </c>
      <c r="R100" s="54">
        <f t="shared" si="3"/>
        <v>2729.9999999999986</v>
      </c>
    </row>
    <row r="101" spans="1:18" x14ac:dyDescent="0.3">
      <c r="A101" s="50"/>
      <c r="B101" s="55">
        <v>16256</v>
      </c>
      <c r="C101" s="7" t="s">
        <v>16</v>
      </c>
      <c r="D101" s="4">
        <v>688</v>
      </c>
      <c r="E101" s="4">
        <v>324</v>
      </c>
      <c r="F101" s="56">
        <f t="shared" si="4"/>
        <v>1012</v>
      </c>
      <c r="G101" s="46"/>
      <c r="H101" s="57">
        <v>0</v>
      </c>
      <c r="I101" s="58">
        <v>0</v>
      </c>
      <c r="J101" s="58">
        <f t="shared" si="1"/>
        <v>1012</v>
      </c>
      <c r="K101" s="58">
        <v>0</v>
      </c>
      <c r="L101" s="56">
        <f t="shared" si="2"/>
        <v>1012</v>
      </c>
      <c r="M101" s="47"/>
      <c r="N101" s="53">
        <f>+F101*7.41991885789947%</f>
        <v>75.08957884194264</v>
      </c>
      <c r="O101" s="53">
        <f>+F101*0.101003242288954%</f>
        <v>1.0221528119642147</v>
      </c>
      <c r="P101" s="53">
        <f>+F101*0.0135802678707838%</f>
        <v>0.13743231085233207</v>
      </c>
      <c r="Q101" s="53">
        <v>935.75083603524058</v>
      </c>
      <c r="R101" s="54">
        <f t="shared" si="3"/>
        <v>1011.9999999999998</v>
      </c>
    </row>
    <row r="102" spans="1:18" x14ac:dyDescent="0.3">
      <c r="A102" s="50"/>
      <c r="B102" s="55">
        <v>16257</v>
      </c>
      <c r="C102" s="7" t="s">
        <v>95</v>
      </c>
      <c r="D102" s="4">
        <v>50</v>
      </c>
      <c r="E102" s="4">
        <v>43</v>
      </c>
      <c r="F102" s="56">
        <f t="shared" si="4"/>
        <v>93</v>
      </c>
      <c r="G102" s="46"/>
      <c r="H102" s="57">
        <v>0</v>
      </c>
      <c r="I102" s="58">
        <v>0</v>
      </c>
      <c r="J102" s="58">
        <f t="shared" si="1"/>
        <v>93</v>
      </c>
      <c r="K102" s="58">
        <v>0</v>
      </c>
      <c r="L102" s="56">
        <f t="shared" si="2"/>
        <v>93</v>
      </c>
      <c r="M102" s="47"/>
      <c r="N102" s="53">
        <f>+F102*99.6848883408686%</f>
        <v>92.706946157007792</v>
      </c>
      <c r="O102" s="53">
        <f>+F102*0.164406083025072%</f>
        <v>0.15289765721331697</v>
      </c>
      <c r="P102" s="53">
        <f>+F102*0%</f>
        <v>0</v>
      </c>
      <c r="Q102" s="53">
        <v>0.1401561857788739</v>
      </c>
      <c r="R102" s="54">
        <f t="shared" si="3"/>
        <v>92.999999999999986</v>
      </c>
    </row>
    <row r="103" spans="1:18" x14ac:dyDescent="0.3">
      <c r="A103" s="50"/>
      <c r="B103" s="55">
        <v>16258</v>
      </c>
      <c r="C103" s="7" t="s">
        <v>25</v>
      </c>
      <c r="D103" s="4">
        <v>570</v>
      </c>
      <c r="E103" s="4">
        <v>216</v>
      </c>
      <c r="F103" s="56">
        <f t="shared" si="4"/>
        <v>786</v>
      </c>
      <c r="G103" s="46"/>
      <c r="H103" s="57">
        <v>0</v>
      </c>
      <c r="I103" s="58">
        <v>0</v>
      </c>
      <c r="J103" s="58">
        <f t="shared" si="1"/>
        <v>786</v>
      </c>
      <c r="K103" s="58">
        <v>0</v>
      </c>
      <c r="L103" s="56">
        <f t="shared" si="2"/>
        <v>786</v>
      </c>
      <c r="M103" s="47"/>
      <c r="N103" s="53">
        <f>+F103*3.55055988780996%</f>
        <v>27.907400718186285</v>
      </c>
      <c r="O103" s="53">
        <f>+F103*0.146611988186048%</f>
        <v>1.1523702271423375</v>
      </c>
      <c r="P103" s="53">
        <f>+F103*0.0233729256528483%</f>
        <v>0.18371119563138763</v>
      </c>
      <c r="Q103" s="53">
        <v>756.75651785904017</v>
      </c>
      <c r="R103" s="54">
        <f t="shared" si="3"/>
        <v>786.00000000000023</v>
      </c>
    </row>
    <row r="104" spans="1:18" x14ac:dyDescent="0.3">
      <c r="A104" s="50"/>
      <c r="B104" s="55">
        <v>16259</v>
      </c>
      <c r="C104" s="7" t="s">
        <v>26</v>
      </c>
      <c r="D104" s="4">
        <v>296</v>
      </c>
      <c r="E104" s="4">
        <v>210</v>
      </c>
      <c r="F104" s="56">
        <f t="shared" si="4"/>
        <v>506</v>
      </c>
      <c r="G104" s="46"/>
      <c r="H104" s="57">
        <v>0</v>
      </c>
      <c r="I104" s="58">
        <v>0</v>
      </c>
      <c r="J104" s="58">
        <f t="shared" si="1"/>
        <v>506</v>
      </c>
      <c r="K104" s="58">
        <v>0</v>
      </c>
      <c r="L104" s="56">
        <f t="shared" si="2"/>
        <v>506</v>
      </c>
      <c r="M104" s="47"/>
      <c r="N104" s="53">
        <f>+F104*11.1898419922936%</f>
        <v>56.62060048100561</v>
      </c>
      <c r="O104" s="53">
        <f>+F104*0.0930978303033438%</f>
        <v>0.47107502133491963</v>
      </c>
      <c r="P104" s="53">
        <f>+F104*0%</f>
        <v>0</v>
      </c>
      <c r="Q104" s="53">
        <v>448.90832449765986</v>
      </c>
      <c r="R104" s="54">
        <f t="shared" si="3"/>
        <v>506.0000000000004</v>
      </c>
    </row>
    <row r="105" spans="1:18" x14ac:dyDescent="0.3">
      <c r="A105" s="50"/>
      <c r="B105" s="55">
        <v>16260</v>
      </c>
      <c r="C105" s="7" t="s">
        <v>27</v>
      </c>
      <c r="D105" s="4">
        <v>362</v>
      </c>
      <c r="E105" s="4">
        <v>237</v>
      </c>
      <c r="F105" s="56">
        <f>+D105+E105</f>
        <v>599</v>
      </c>
      <c r="G105" s="46"/>
      <c r="H105" s="57">
        <v>0</v>
      </c>
      <c r="I105" s="58">
        <v>0</v>
      </c>
      <c r="J105" s="58">
        <f t="shared" si="1"/>
        <v>599</v>
      </c>
      <c r="K105" s="58">
        <v>0</v>
      </c>
      <c r="L105" s="56">
        <f t="shared" si="2"/>
        <v>599</v>
      </c>
      <c r="M105" s="47"/>
      <c r="N105" s="53">
        <f>+F105*2.69045909065797%</f>
        <v>16.115849953041241</v>
      </c>
      <c r="O105" s="53">
        <f>+F105*0.0762388818297332%</f>
        <v>0.45667090216010181</v>
      </c>
      <c r="P105" s="53">
        <f>+F105*0.0121540246395227%</f>
        <v>7.2802607590740975E-2</v>
      </c>
      <c r="Q105" s="53">
        <v>582.35467653720787</v>
      </c>
      <c r="R105" s="54">
        <f t="shared" si="3"/>
        <v>599</v>
      </c>
    </row>
    <row r="106" spans="1:18" x14ac:dyDescent="0.3">
      <c r="A106" s="50"/>
      <c r="B106" s="55">
        <v>16261</v>
      </c>
      <c r="C106" s="7" t="s">
        <v>28</v>
      </c>
      <c r="D106" s="4">
        <v>248</v>
      </c>
      <c r="E106" s="4">
        <v>109</v>
      </c>
      <c r="F106" s="56">
        <f t="shared" si="4"/>
        <v>357</v>
      </c>
      <c r="G106" s="46"/>
      <c r="H106" s="57">
        <v>0</v>
      </c>
      <c r="I106" s="58">
        <v>0</v>
      </c>
      <c r="J106" s="58">
        <f t="shared" si="1"/>
        <v>357</v>
      </c>
      <c r="K106" s="58">
        <v>0</v>
      </c>
      <c r="L106" s="56">
        <f t="shared" si="2"/>
        <v>357</v>
      </c>
      <c r="M106" s="47"/>
      <c r="N106" s="53">
        <f>+F106*96.9668693243035%</f>
        <v>346.17172348776353</v>
      </c>
      <c r="O106" s="53">
        <f>+F106*0.0615668770201632%</f>
        <v>0.21979375096198264</v>
      </c>
      <c r="P106" s="53">
        <f>+F106*0.0144297368016007%</f>
        <v>5.151416038171449E-2</v>
      </c>
      <c r="Q106" s="53">
        <v>10.556968600892723</v>
      </c>
      <c r="R106" s="54">
        <f t="shared" si="3"/>
        <v>356.99999999999994</v>
      </c>
    </row>
    <row r="107" spans="1:18" x14ac:dyDescent="0.3">
      <c r="A107" s="50"/>
      <c r="B107" s="55">
        <v>16262</v>
      </c>
      <c r="C107" s="7" t="s">
        <v>43</v>
      </c>
      <c r="D107" s="4">
        <v>437</v>
      </c>
      <c r="E107" s="4">
        <v>332</v>
      </c>
      <c r="F107" s="56">
        <f t="shared" si="4"/>
        <v>769</v>
      </c>
      <c r="G107" s="46"/>
      <c r="H107" s="57">
        <v>0</v>
      </c>
      <c r="I107" s="58">
        <v>0</v>
      </c>
      <c r="J107" s="58">
        <f t="shared" si="1"/>
        <v>769</v>
      </c>
      <c r="K107" s="58">
        <v>0</v>
      </c>
      <c r="L107" s="56">
        <f t="shared" si="2"/>
        <v>769</v>
      </c>
      <c r="M107" s="47"/>
      <c r="N107" s="53">
        <f>+F107*83.464275220685%</f>
        <v>641.84027644706759</v>
      </c>
      <c r="O107" s="53">
        <f>+F107*0.052376754940661%</f>
        <v>0.4027772454936831</v>
      </c>
      <c r="P107" s="53">
        <f>+F107*0.006387409139105%</f>
        <v>4.9119176279717458E-2</v>
      </c>
      <c r="Q107" s="53">
        <v>126.70782713115921</v>
      </c>
      <c r="R107" s="54">
        <f t="shared" si="3"/>
        <v>769.00000000000023</v>
      </c>
    </row>
    <row r="108" spans="1:18" x14ac:dyDescent="0.3">
      <c r="A108" s="50"/>
      <c r="B108" s="55">
        <v>16265</v>
      </c>
      <c r="C108" s="7" t="s">
        <v>19</v>
      </c>
      <c r="D108" s="4">
        <v>217</v>
      </c>
      <c r="E108" s="4">
        <v>116</v>
      </c>
      <c r="F108" s="56">
        <f t="shared" si="4"/>
        <v>333</v>
      </c>
      <c r="G108" s="46"/>
      <c r="H108" s="57">
        <v>0</v>
      </c>
      <c r="I108" s="58">
        <v>0</v>
      </c>
      <c r="J108" s="58">
        <f t="shared" si="1"/>
        <v>333</v>
      </c>
      <c r="K108" s="58">
        <v>0</v>
      </c>
      <c r="L108" s="56">
        <f t="shared" si="2"/>
        <v>333</v>
      </c>
      <c r="M108" s="47"/>
      <c r="N108" s="53">
        <f>+F108*82.5540442069468%</f>
        <v>274.90496720913285</v>
      </c>
      <c r="O108" s="53">
        <f>+F108*0.060723828030119%</f>
        <v>0.20221034734029628</v>
      </c>
      <c r="P108" s="53">
        <f>+F108*0.0106266699052708%</f>
        <v>3.5386810784551762E-2</v>
      </c>
      <c r="Q108" s="53">
        <v>57.857435632742131</v>
      </c>
      <c r="R108" s="54">
        <f t="shared" si="3"/>
        <v>332.99999999999977</v>
      </c>
    </row>
    <row r="109" spans="1:18" x14ac:dyDescent="0.3">
      <c r="A109" s="50"/>
      <c r="B109" s="55">
        <v>16266</v>
      </c>
      <c r="C109" s="7" t="s">
        <v>44</v>
      </c>
      <c r="D109" s="4">
        <v>46</v>
      </c>
      <c r="E109" s="4">
        <v>27</v>
      </c>
      <c r="F109" s="56">
        <f t="shared" si="4"/>
        <v>73</v>
      </c>
      <c r="G109" s="46"/>
      <c r="H109" s="57">
        <v>0</v>
      </c>
      <c r="I109" s="58">
        <v>0</v>
      </c>
      <c r="J109" s="58">
        <f t="shared" si="1"/>
        <v>73</v>
      </c>
      <c r="K109" s="58">
        <v>0</v>
      </c>
      <c r="L109" s="56">
        <f t="shared" si="2"/>
        <v>73</v>
      </c>
      <c r="M109" s="47"/>
      <c r="N109" s="53">
        <f>+F109*77.3459334472705%</f>
        <v>56.462531416507467</v>
      </c>
      <c r="O109" s="53">
        <f>+F109*0.0733889614959284%</f>
        <v>5.3573941892027729E-2</v>
      </c>
      <c r="P109" s="53">
        <f>+F109*0.0251332059917563%</f>
        <v>1.83472403739821E-2</v>
      </c>
      <c r="Q109" s="53">
        <v>16.465547401226488</v>
      </c>
      <c r="R109" s="54">
        <f t="shared" si="3"/>
        <v>72.999999999999972</v>
      </c>
    </row>
    <row r="110" spans="1:18" x14ac:dyDescent="0.3">
      <c r="A110" s="50"/>
      <c r="B110" s="55">
        <v>16268</v>
      </c>
      <c r="C110" s="9" t="s">
        <v>21</v>
      </c>
      <c r="D110" s="4">
        <v>94</v>
      </c>
      <c r="E110" s="4">
        <v>56</v>
      </c>
      <c r="F110" s="56">
        <f t="shared" si="4"/>
        <v>150</v>
      </c>
      <c r="G110" s="46"/>
      <c r="H110" s="57">
        <v>0</v>
      </c>
      <c r="I110" s="58">
        <v>0</v>
      </c>
      <c r="J110" s="58">
        <f t="shared" si="1"/>
        <v>150</v>
      </c>
      <c r="K110" s="58">
        <v>0</v>
      </c>
      <c r="L110" s="56">
        <f t="shared" si="2"/>
        <v>150</v>
      </c>
      <c r="M110" s="47"/>
      <c r="N110" s="53">
        <f>+F110*2.50997139518956%</f>
        <v>3.7649570927843401</v>
      </c>
      <c r="O110" s="53">
        <f>+F110*0.128923089319528%</f>
        <v>0.19338463397929201</v>
      </c>
      <c r="P110" s="53">
        <f>+F110*0.0201442327061762%</f>
        <v>3.0216349059264298E-2</v>
      </c>
      <c r="Q110" s="53">
        <v>146.01144192417703</v>
      </c>
      <c r="R110" s="54">
        <f t="shared" si="3"/>
        <v>149.99999999999994</v>
      </c>
    </row>
    <row r="111" spans="1:18" x14ac:dyDescent="0.3">
      <c r="A111" s="50"/>
      <c r="B111" s="59">
        <v>16271</v>
      </c>
      <c r="C111" s="8" t="s">
        <v>45</v>
      </c>
      <c r="D111" s="4">
        <v>319</v>
      </c>
      <c r="E111" s="4">
        <v>149</v>
      </c>
      <c r="F111" s="56">
        <f t="shared" si="4"/>
        <v>468</v>
      </c>
      <c r="G111" s="46"/>
      <c r="H111" s="57">
        <v>0</v>
      </c>
      <c r="I111" s="58">
        <v>0</v>
      </c>
      <c r="J111" s="58">
        <f t="shared" si="1"/>
        <v>468</v>
      </c>
      <c r="K111" s="58">
        <v>0</v>
      </c>
      <c r="L111" s="56">
        <f t="shared" si="2"/>
        <v>468</v>
      </c>
      <c r="M111" s="47"/>
      <c r="N111" s="53">
        <f>+F111*3.68416385884022%</f>
        <v>17.241886859372229</v>
      </c>
      <c r="O111" s="53">
        <f>+F111*0.0922149317254832%</f>
        <v>0.4315658804752614</v>
      </c>
      <c r="P111" s="53">
        <f>+F111*0.0133002305373293%</f>
        <v>6.224507891470113E-2</v>
      </c>
      <c r="Q111" s="53">
        <v>450.26430218123778</v>
      </c>
      <c r="R111" s="54">
        <f t="shared" si="3"/>
        <v>468</v>
      </c>
    </row>
    <row r="112" spans="1:18" x14ac:dyDescent="0.3">
      <c r="A112" s="50"/>
      <c r="B112" s="59">
        <v>16272</v>
      </c>
      <c r="C112" s="8" t="s">
        <v>11</v>
      </c>
      <c r="D112" s="4">
        <v>111</v>
      </c>
      <c r="E112" s="4">
        <v>96</v>
      </c>
      <c r="F112" s="60">
        <f t="shared" si="4"/>
        <v>207</v>
      </c>
      <c r="G112" s="46"/>
      <c r="H112" s="59">
        <v>0</v>
      </c>
      <c r="I112" s="61">
        <v>0</v>
      </c>
      <c r="J112" s="61">
        <f t="shared" si="1"/>
        <v>207</v>
      </c>
      <c r="K112" s="61">
        <v>0</v>
      </c>
      <c r="L112" s="60">
        <f t="shared" si="2"/>
        <v>207</v>
      </c>
      <c r="M112" s="47"/>
      <c r="N112" s="53">
        <f>+F112*2.45412123117097%</f>
        <v>5.0800309485239081</v>
      </c>
      <c r="O112" s="53">
        <f>+F112*0.166831886651031%</f>
        <v>0.34534200536763415</v>
      </c>
      <c r="P112" s="53">
        <f>+F112*3.90966899586547%</f>
        <v>8.093014821441523</v>
      </c>
      <c r="Q112" s="53">
        <v>193.48161222466689</v>
      </c>
      <c r="R112" s="54">
        <f t="shared" si="3"/>
        <v>206.99999999999994</v>
      </c>
    </row>
    <row r="113" spans="1:18" x14ac:dyDescent="0.3">
      <c r="A113" s="50"/>
      <c r="B113" s="59">
        <v>16277</v>
      </c>
      <c r="C113" s="8" t="s">
        <v>10</v>
      </c>
      <c r="D113" s="4">
        <v>122</v>
      </c>
      <c r="E113" s="4">
        <v>50</v>
      </c>
      <c r="F113" s="60">
        <f t="shared" si="4"/>
        <v>172</v>
      </c>
      <c r="G113" s="46"/>
      <c r="H113" s="59">
        <v>0</v>
      </c>
      <c r="I113" s="61">
        <v>0</v>
      </c>
      <c r="J113" s="61">
        <f t="shared" si="1"/>
        <v>172</v>
      </c>
      <c r="K113" s="61">
        <v>0</v>
      </c>
      <c r="L113" s="60">
        <f t="shared" si="2"/>
        <v>172</v>
      </c>
      <c r="M113" s="47"/>
      <c r="N113" s="53">
        <f>+F113*2.81419452261651%</f>
        <v>4.8404145789003978</v>
      </c>
      <c r="O113" s="53">
        <f>+F113*0.0943784748438465%</f>
        <v>0.16233097673141597</v>
      </c>
      <c r="P113" s="53">
        <f>+F113*0.847690301324731%</f>
        <v>1.4580273182785375</v>
      </c>
      <c r="Q113" s="53">
        <v>165.53922712608968</v>
      </c>
      <c r="R113" s="54">
        <f t="shared" si="3"/>
        <v>172.00000000000003</v>
      </c>
    </row>
    <row r="114" spans="1:18" x14ac:dyDescent="0.3">
      <c r="A114" s="50"/>
      <c r="B114" s="55">
        <v>16278</v>
      </c>
      <c r="C114" s="7" t="s">
        <v>17</v>
      </c>
      <c r="D114" s="4">
        <v>45</v>
      </c>
      <c r="E114" s="4">
        <v>34</v>
      </c>
      <c r="F114" s="56">
        <f t="shared" si="4"/>
        <v>79</v>
      </c>
      <c r="G114" s="46"/>
      <c r="H114" s="57">
        <v>0</v>
      </c>
      <c r="I114" s="58">
        <v>0</v>
      </c>
      <c r="J114" s="58">
        <f t="shared" si="1"/>
        <v>79</v>
      </c>
      <c r="K114" s="58">
        <v>0</v>
      </c>
      <c r="L114" s="56">
        <f t="shared" si="2"/>
        <v>79</v>
      </c>
      <c r="M114" s="47"/>
      <c r="N114" s="53">
        <f>+F114*9.4034100655254%</f>
        <v>7.4286939517650659</v>
      </c>
      <c r="O114" s="53">
        <f>+F114*0.105206582272691%</f>
        <v>8.3113199995425893E-2</v>
      </c>
      <c r="P114" s="53">
        <f>+F114*0.00228709961462372%</f>
        <v>1.8068086955527387E-3</v>
      </c>
      <c r="Q114" s="53">
        <v>71.486386039543945</v>
      </c>
      <c r="R114" s="54">
        <f t="shared" si="3"/>
        <v>78.999999999999986</v>
      </c>
    </row>
    <row r="115" spans="1:18" x14ac:dyDescent="0.3">
      <c r="A115" s="50"/>
      <c r="B115" s="55">
        <v>16281</v>
      </c>
      <c r="C115" s="7" t="s">
        <v>46</v>
      </c>
      <c r="D115" s="4">
        <v>0</v>
      </c>
      <c r="E115" s="4">
        <v>0</v>
      </c>
      <c r="F115" s="56">
        <f t="shared" si="4"/>
        <v>0</v>
      </c>
      <c r="G115" s="46"/>
      <c r="H115" s="57">
        <v>0</v>
      </c>
      <c r="I115" s="58">
        <v>0</v>
      </c>
      <c r="J115" s="58">
        <f t="shared" si="1"/>
        <v>0</v>
      </c>
      <c r="K115" s="58">
        <v>0</v>
      </c>
      <c r="L115" s="56">
        <f t="shared" si="2"/>
        <v>0</v>
      </c>
      <c r="M115" s="47"/>
      <c r="N115" s="53">
        <f>+F115*9.4034100655254%</f>
        <v>0</v>
      </c>
      <c r="O115" s="53">
        <f>+F115*0.105206582272691%</f>
        <v>0</v>
      </c>
      <c r="P115" s="53">
        <f>+F115*0.00228709961462372%</f>
        <v>0</v>
      </c>
      <c r="Q115" s="53">
        <v>0</v>
      </c>
      <c r="R115" s="54">
        <f t="shared" si="3"/>
        <v>0</v>
      </c>
    </row>
    <row r="116" spans="1:18" x14ac:dyDescent="0.3">
      <c r="A116" s="50"/>
      <c r="B116" s="55">
        <v>16283</v>
      </c>
      <c r="C116" s="7" t="s">
        <v>47</v>
      </c>
      <c r="D116" s="4">
        <v>124</v>
      </c>
      <c r="E116" s="4">
        <v>82</v>
      </c>
      <c r="F116" s="56">
        <f t="shared" si="4"/>
        <v>206</v>
      </c>
      <c r="G116" s="46"/>
      <c r="H116" s="57">
        <v>0</v>
      </c>
      <c r="I116" s="58">
        <v>0</v>
      </c>
      <c r="J116" s="58">
        <f t="shared" si="1"/>
        <v>206</v>
      </c>
      <c r="K116" s="58">
        <v>0</v>
      </c>
      <c r="L116" s="56">
        <f t="shared" si="2"/>
        <v>206</v>
      </c>
      <c r="M116" s="47"/>
      <c r="N116" s="53">
        <f>+F116*97.6900251084227%</f>
        <v>201.24145172335076</v>
      </c>
      <c r="O116" s="53">
        <f>+F116*0.0890207715133531%</f>
        <v>0.18338278931750737</v>
      </c>
      <c r="P116" s="53">
        <f>+F116*0%</f>
        <v>0</v>
      </c>
      <c r="Q116" s="53">
        <v>4.5751654873316614</v>
      </c>
      <c r="R116" s="54">
        <f t="shared" si="3"/>
        <v>205.99999999999994</v>
      </c>
    </row>
    <row r="117" spans="1:18" x14ac:dyDescent="0.3">
      <c r="A117" s="50"/>
      <c r="B117" s="55">
        <v>16287</v>
      </c>
      <c r="C117" s="7" t="s">
        <v>48</v>
      </c>
      <c r="D117" s="4">
        <v>688</v>
      </c>
      <c r="E117" s="4">
        <v>297</v>
      </c>
      <c r="F117" s="56">
        <f t="shared" si="4"/>
        <v>985</v>
      </c>
      <c r="G117" s="46"/>
      <c r="H117" s="57">
        <v>0</v>
      </c>
      <c r="I117" s="58">
        <v>0</v>
      </c>
      <c r="J117" s="58">
        <f t="shared" si="1"/>
        <v>985</v>
      </c>
      <c r="K117" s="58">
        <v>0</v>
      </c>
      <c r="L117" s="56">
        <f t="shared" si="2"/>
        <v>985</v>
      </c>
      <c r="M117" s="47"/>
      <c r="N117" s="53">
        <f>+F117*85.3700905277727%</f>
        <v>840.89539169856107</v>
      </c>
      <c r="O117" s="53">
        <f>+F117*0.145465843772508%</f>
        <v>1.4328385611592038</v>
      </c>
      <c r="P117" s="53">
        <f>+F117*0.0211843461804624%</f>
        <v>0.20866580987755468</v>
      </c>
      <c r="Q117" s="53">
        <v>142.46310393040221</v>
      </c>
      <c r="R117" s="54">
        <f t="shared" si="3"/>
        <v>985</v>
      </c>
    </row>
    <row r="118" spans="1:18" x14ac:dyDescent="0.3">
      <c r="A118" s="50"/>
      <c r="B118" s="55">
        <v>16288</v>
      </c>
      <c r="C118" s="9" t="s">
        <v>24</v>
      </c>
      <c r="D118" s="4">
        <v>306</v>
      </c>
      <c r="E118" s="4">
        <v>145</v>
      </c>
      <c r="F118" s="56">
        <f t="shared" si="4"/>
        <v>451</v>
      </c>
      <c r="G118" s="46"/>
      <c r="H118" s="57">
        <v>0</v>
      </c>
      <c r="I118" s="58">
        <v>0</v>
      </c>
      <c r="J118" s="58">
        <f t="shared" si="1"/>
        <v>451</v>
      </c>
      <c r="K118" s="58">
        <v>0</v>
      </c>
      <c r="L118" s="56">
        <f t="shared" si="2"/>
        <v>451</v>
      </c>
      <c r="M118" s="47"/>
      <c r="N118" s="53">
        <f>+F118*5.72107403099619%</f>
        <v>25.802043879792816</v>
      </c>
      <c r="O118" s="53">
        <f>+F118*1.14123249132643%</f>
        <v>5.1469585358821996</v>
      </c>
      <c r="P118" s="53">
        <f>+F118*0.077540186692911%</f>
        <v>0.34970624198502859</v>
      </c>
      <c r="Q118" s="53">
        <v>419.70129134234008</v>
      </c>
      <c r="R118" s="54">
        <f t="shared" si="3"/>
        <v>451.00000000000011</v>
      </c>
    </row>
    <row r="119" spans="1:18" x14ac:dyDescent="0.3">
      <c r="A119" s="50"/>
      <c r="B119" s="55">
        <v>16289</v>
      </c>
      <c r="C119" s="9" t="s">
        <v>23</v>
      </c>
      <c r="D119" s="4">
        <v>144</v>
      </c>
      <c r="E119" s="4">
        <v>76</v>
      </c>
      <c r="F119" s="56">
        <f t="shared" si="4"/>
        <v>220</v>
      </c>
      <c r="G119" s="46"/>
      <c r="H119" s="57">
        <v>0</v>
      </c>
      <c r="I119" s="58">
        <v>0</v>
      </c>
      <c r="J119" s="58">
        <f t="shared" si="1"/>
        <v>220</v>
      </c>
      <c r="K119" s="58">
        <v>0</v>
      </c>
      <c r="L119" s="56">
        <f t="shared" si="2"/>
        <v>220</v>
      </c>
      <c r="M119" s="47"/>
      <c r="N119" s="53">
        <f>+F119*2.37841392572812%</f>
        <v>5.2325106366018641</v>
      </c>
      <c r="O119" s="53">
        <f>+F119*0.0807086418030908%</f>
        <v>0.17755901196679977</v>
      </c>
      <c r="P119" s="53">
        <f>+F119*0.00896762686701009%</f>
        <v>1.9728779107422198E-2</v>
      </c>
      <c r="Q119" s="53">
        <v>214.57020157232398</v>
      </c>
      <c r="R119" s="54">
        <f t="shared" si="3"/>
        <v>220.00000000000006</v>
      </c>
    </row>
    <row r="120" spans="1:18" x14ac:dyDescent="0.3">
      <c r="A120" s="50"/>
      <c r="B120" s="55">
        <v>16293</v>
      </c>
      <c r="C120" s="9" t="s">
        <v>20</v>
      </c>
      <c r="D120" s="4">
        <v>252</v>
      </c>
      <c r="E120" s="4">
        <v>128</v>
      </c>
      <c r="F120" s="60">
        <f t="shared" si="4"/>
        <v>380</v>
      </c>
      <c r="G120" s="46"/>
      <c r="H120" s="57">
        <v>0</v>
      </c>
      <c r="I120" s="58">
        <v>0</v>
      </c>
      <c r="J120" s="58">
        <f t="shared" si="1"/>
        <v>380</v>
      </c>
      <c r="K120" s="58">
        <v>0</v>
      </c>
      <c r="L120" s="56">
        <f t="shared" si="2"/>
        <v>380</v>
      </c>
      <c r="M120" s="47"/>
      <c r="N120" s="53">
        <f>+F120*0.841217882606161%</f>
        <v>3.1966279539034121</v>
      </c>
      <c r="O120" s="62">
        <f>+F120*0.189229182547868%</f>
        <v>0.71907089368189836</v>
      </c>
      <c r="P120" s="53">
        <f>+F120*0.0107618492444285%</f>
        <v>4.0895027128828303E-2</v>
      </c>
      <c r="Q120" s="53">
        <v>376.04340612528586</v>
      </c>
      <c r="R120" s="54">
        <f t="shared" si="3"/>
        <v>380</v>
      </c>
    </row>
    <row r="121" spans="1:18" x14ac:dyDescent="0.3">
      <c r="A121" s="50"/>
      <c r="B121" s="59">
        <v>16294</v>
      </c>
      <c r="C121" s="8" t="s">
        <v>14</v>
      </c>
      <c r="D121" s="4">
        <v>142</v>
      </c>
      <c r="E121" s="4">
        <v>77</v>
      </c>
      <c r="F121" s="56">
        <f t="shared" si="4"/>
        <v>219</v>
      </c>
      <c r="G121" s="46"/>
      <c r="H121" s="59">
        <v>0</v>
      </c>
      <c r="I121" s="61">
        <v>0</v>
      </c>
      <c r="J121" s="61">
        <f t="shared" si="1"/>
        <v>219</v>
      </c>
      <c r="K121" s="61">
        <v>0</v>
      </c>
      <c r="L121" s="60">
        <f t="shared" si="2"/>
        <v>219</v>
      </c>
      <c r="M121" s="47"/>
      <c r="N121" s="53">
        <f>+F121*1.06418918918919%</f>
        <v>2.330574324324326</v>
      </c>
      <c r="O121" s="53">
        <f>+F121*0.298423423423423%</f>
        <v>0.65354729729729633</v>
      </c>
      <c r="P121" s="53">
        <f>+F121*48.9032782782783%</f>
        <v>107.09817942942948</v>
      </c>
      <c r="Q121" s="53">
        <v>108.91769894894895</v>
      </c>
      <c r="R121" s="54">
        <f t="shared" si="3"/>
        <v>219.00000000000006</v>
      </c>
    </row>
    <row r="122" spans="1:18" x14ac:dyDescent="0.3">
      <c r="A122" s="50"/>
      <c r="B122" s="59">
        <v>17434</v>
      </c>
      <c r="C122" s="8" t="s">
        <v>96</v>
      </c>
      <c r="D122" s="4">
        <v>225</v>
      </c>
      <c r="E122" s="4">
        <v>125</v>
      </c>
      <c r="F122" s="60">
        <f t="shared" si="4"/>
        <v>350</v>
      </c>
      <c r="G122" s="46"/>
      <c r="H122" s="57">
        <v>0</v>
      </c>
      <c r="I122" s="58">
        <v>0</v>
      </c>
      <c r="J122" s="58">
        <f t="shared" si="1"/>
        <v>350</v>
      </c>
      <c r="K122" s="58">
        <v>0</v>
      </c>
      <c r="L122" s="56">
        <f t="shared" si="2"/>
        <v>350</v>
      </c>
      <c r="M122" s="47"/>
      <c r="N122" s="53">
        <f>+F122*63.240066741231%</f>
        <v>221.34023359430847</v>
      </c>
      <c r="O122" s="53">
        <f>+F122*0.118263994572691%</f>
        <v>0.41392398100441852</v>
      </c>
      <c r="P122" s="53">
        <f>+F122*0.0848017015346816%</f>
        <v>0.2968059553713856</v>
      </c>
      <c r="Q122" s="53">
        <v>127.94903646931539</v>
      </c>
      <c r="R122" s="54">
        <f t="shared" si="3"/>
        <v>349.99999999999966</v>
      </c>
    </row>
    <row r="123" spans="1:18" x14ac:dyDescent="0.3">
      <c r="A123" s="50"/>
      <c r="B123" s="59">
        <v>17435</v>
      </c>
      <c r="C123" s="8" t="s">
        <v>12</v>
      </c>
      <c r="D123" s="4">
        <v>53</v>
      </c>
      <c r="E123" s="4">
        <v>53</v>
      </c>
      <c r="F123" s="56">
        <f t="shared" si="4"/>
        <v>106</v>
      </c>
      <c r="G123" s="46"/>
      <c r="H123" s="59">
        <v>0</v>
      </c>
      <c r="I123" s="61">
        <v>0</v>
      </c>
      <c r="J123" s="61">
        <f t="shared" si="1"/>
        <v>106</v>
      </c>
      <c r="K123" s="61">
        <v>0</v>
      </c>
      <c r="L123" s="60">
        <f t="shared" si="2"/>
        <v>106</v>
      </c>
      <c r="M123" s="47"/>
      <c r="N123" s="53">
        <f>+F123*2.39754210786196%</f>
        <v>2.5413946343336775</v>
      </c>
      <c r="O123" s="53">
        <f>+F123*0.153618258627311%</f>
        <v>0.16283535414494965</v>
      </c>
      <c r="P123" s="53">
        <f>+F123*46.7630438360674%</f>
        <v>49.56882646623145</v>
      </c>
      <c r="Q123" s="53">
        <v>53.726943545289984</v>
      </c>
      <c r="R123" s="54">
        <f t="shared" ref="R123:R143" si="5">SUM(N123:Q123)</f>
        <v>106.00000000000006</v>
      </c>
    </row>
    <row r="124" spans="1:18" x14ac:dyDescent="0.3">
      <c r="A124" s="50"/>
      <c r="B124" s="59">
        <v>17436</v>
      </c>
      <c r="C124" s="8" t="s">
        <v>50</v>
      </c>
      <c r="D124" s="4">
        <v>409</v>
      </c>
      <c r="E124" s="4">
        <v>170</v>
      </c>
      <c r="F124" s="56">
        <f t="shared" si="4"/>
        <v>579</v>
      </c>
      <c r="G124" s="46"/>
      <c r="H124" s="57">
        <v>0</v>
      </c>
      <c r="I124" s="58">
        <v>0</v>
      </c>
      <c r="J124" s="58">
        <f t="shared" si="1"/>
        <v>579</v>
      </c>
      <c r="K124" s="58">
        <v>0</v>
      </c>
      <c r="L124" s="56">
        <f t="shared" si="2"/>
        <v>579</v>
      </c>
      <c r="M124" s="47"/>
      <c r="N124" s="53">
        <f>+F124*3.56521664624585%</f>
        <v>20.642604381763473</v>
      </c>
      <c r="O124" s="53">
        <f>+F124*0.0925362647908081%</f>
        <v>0.53578497313877893</v>
      </c>
      <c r="P124" s="53">
        <f>+F124*0.0805408230586663%</f>
        <v>0.46633136550967791</v>
      </c>
      <c r="Q124" s="53">
        <v>557.35527927958833</v>
      </c>
      <c r="R124" s="54">
        <f t="shared" si="5"/>
        <v>579.00000000000023</v>
      </c>
    </row>
    <row r="125" spans="1:18" x14ac:dyDescent="0.3">
      <c r="A125" s="50"/>
      <c r="B125" s="55">
        <v>17437</v>
      </c>
      <c r="C125" s="9" t="s">
        <v>51</v>
      </c>
      <c r="D125" s="4">
        <v>48</v>
      </c>
      <c r="E125" s="4">
        <v>49</v>
      </c>
      <c r="F125" s="60">
        <f t="shared" si="4"/>
        <v>97</v>
      </c>
      <c r="G125" s="46"/>
      <c r="H125" s="57">
        <v>0</v>
      </c>
      <c r="I125" s="58">
        <v>0</v>
      </c>
      <c r="J125" s="58">
        <f t="shared" si="1"/>
        <v>97</v>
      </c>
      <c r="K125" s="58">
        <v>0</v>
      </c>
      <c r="L125" s="56">
        <f t="shared" si="2"/>
        <v>97</v>
      </c>
      <c r="M125" s="47"/>
      <c r="N125" s="53">
        <f>+F125*1.62031716846702%</f>
        <v>1.5717076534130092</v>
      </c>
      <c r="O125" s="53">
        <f>+F125*0.0705913254752602%</f>
        <v>6.8473585711002399E-2</v>
      </c>
      <c r="P125" s="53">
        <f>+F125*0.00820829365991398%</f>
        <v>7.9620448501165602E-3</v>
      </c>
      <c r="Q125" s="53">
        <v>95.351856716025821</v>
      </c>
      <c r="R125" s="54">
        <f t="shared" si="5"/>
        <v>96.999999999999943</v>
      </c>
    </row>
    <row r="126" spans="1:18" x14ac:dyDescent="0.3">
      <c r="A126" s="50"/>
      <c r="B126" s="55">
        <v>17442</v>
      </c>
      <c r="C126" s="9" t="s">
        <v>52</v>
      </c>
      <c r="D126" s="4">
        <v>0</v>
      </c>
      <c r="E126" s="4">
        <v>0</v>
      </c>
      <c r="F126" s="56">
        <f t="shared" si="4"/>
        <v>0</v>
      </c>
      <c r="G126" s="46"/>
      <c r="H126" s="57">
        <v>0</v>
      </c>
      <c r="I126" s="58">
        <v>0</v>
      </c>
      <c r="J126" s="58">
        <f t="shared" si="1"/>
        <v>0</v>
      </c>
      <c r="K126" s="58">
        <v>0</v>
      </c>
      <c r="L126" s="56">
        <f t="shared" si="2"/>
        <v>0</v>
      </c>
      <c r="M126" s="47"/>
      <c r="N126" s="53">
        <f>+F126*0.00841217882606161</f>
        <v>0</v>
      </c>
      <c r="O126" s="53">
        <f>+F126*0.189229182547868%</f>
        <v>0</v>
      </c>
      <c r="P126" s="53">
        <f>+F126*0.0107618492444285%</f>
        <v>0</v>
      </c>
      <c r="Q126" s="53">
        <v>0</v>
      </c>
      <c r="R126" s="54">
        <f t="shared" si="5"/>
        <v>0</v>
      </c>
    </row>
    <row r="127" spans="1:18" x14ac:dyDescent="0.3">
      <c r="A127" s="50"/>
      <c r="B127" s="59">
        <v>17675</v>
      </c>
      <c r="C127" s="8" t="s">
        <v>13</v>
      </c>
      <c r="D127" s="4">
        <v>41</v>
      </c>
      <c r="E127" s="4">
        <v>12</v>
      </c>
      <c r="F127" s="56">
        <f t="shared" si="4"/>
        <v>53</v>
      </c>
      <c r="G127" s="46"/>
      <c r="H127" s="59">
        <v>0</v>
      </c>
      <c r="I127" s="61">
        <v>0</v>
      </c>
      <c r="J127" s="61">
        <f t="shared" si="1"/>
        <v>53</v>
      </c>
      <c r="K127" s="61">
        <v>0</v>
      </c>
      <c r="L127" s="60">
        <f t="shared" si="2"/>
        <v>53</v>
      </c>
      <c r="M127" s="47"/>
      <c r="N127" s="53">
        <f>+F127*1.7744525833366%</f>
        <v>0.94045986916839808</v>
      </c>
      <c r="O127" s="53">
        <f>+F127*0.129264757726507%</f>
        <v>6.8510321595048718E-2</v>
      </c>
      <c r="P127" s="53">
        <f>+F127*0.795174115711544%</f>
        <v>0.42144228132711825</v>
      </c>
      <c r="Q127" s="53">
        <v>51.569587527909469</v>
      </c>
      <c r="R127" s="54">
        <f t="shared" si="5"/>
        <v>53.000000000000036</v>
      </c>
    </row>
    <row r="128" spans="1:18" x14ac:dyDescent="0.3">
      <c r="A128" s="50"/>
      <c r="B128" s="55">
        <v>17676</v>
      </c>
      <c r="C128" s="7" t="s">
        <v>53</v>
      </c>
      <c r="D128" s="4">
        <v>105</v>
      </c>
      <c r="E128" s="4">
        <v>58</v>
      </c>
      <c r="F128" s="56">
        <f t="shared" si="4"/>
        <v>163</v>
      </c>
      <c r="G128" s="46"/>
      <c r="H128" s="57">
        <v>0</v>
      </c>
      <c r="I128" s="58">
        <v>0</v>
      </c>
      <c r="J128" s="58">
        <f t="shared" si="1"/>
        <v>163</v>
      </c>
      <c r="K128" s="58">
        <v>0</v>
      </c>
      <c r="L128" s="56">
        <f t="shared" si="2"/>
        <v>163</v>
      </c>
      <c r="M128" s="47"/>
      <c r="N128" s="53">
        <f>+F128*99.6515679442509%</f>
        <v>162.43205574912895</v>
      </c>
      <c r="O128" s="53">
        <f>+F128*0.0605968792607181%</f>
        <v>9.8772913194970502E-2</v>
      </c>
      <c r="P128" s="53">
        <f>+F128*0.0151492198151795%</f>
        <v>2.4693228298742584E-2</v>
      </c>
      <c r="Q128" s="53">
        <v>0.44447810937736676</v>
      </c>
      <c r="R128" s="54">
        <f t="shared" si="5"/>
        <v>163.00000000000003</v>
      </c>
    </row>
    <row r="129" spans="1:18" x14ac:dyDescent="0.3">
      <c r="A129" s="50"/>
      <c r="B129" s="55">
        <v>17677</v>
      </c>
      <c r="C129" s="9" t="s">
        <v>97</v>
      </c>
      <c r="D129" s="4">
        <v>270</v>
      </c>
      <c r="E129" s="4">
        <v>116</v>
      </c>
      <c r="F129" s="56">
        <f t="shared" si="4"/>
        <v>386</v>
      </c>
      <c r="G129" s="46"/>
      <c r="H129" s="57">
        <v>0</v>
      </c>
      <c r="I129" s="58">
        <v>0</v>
      </c>
      <c r="J129" s="58">
        <f t="shared" si="1"/>
        <v>386</v>
      </c>
      <c r="K129" s="58">
        <v>0</v>
      </c>
      <c r="L129" s="56">
        <f t="shared" si="2"/>
        <v>386</v>
      </c>
      <c r="M129" s="47"/>
      <c r="N129" s="53">
        <f>+F129*6.8032884546646%</f>
        <v>26.260693435005358</v>
      </c>
      <c r="O129" s="53">
        <f>+F129*0.113189562730847%</f>
        <v>0.43691171214106944</v>
      </c>
      <c r="P129" s="53">
        <f>+F129*0.0208507089241034%</f>
        <v>8.0483736447039128E-2</v>
      </c>
      <c r="Q129" s="53">
        <v>359.22191111640649</v>
      </c>
      <c r="R129" s="54">
        <f t="shared" si="5"/>
        <v>385.99999999999994</v>
      </c>
    </row>
    <row r="130" spans="1:18" x14ac:dyDescent="0.3">
      <c r="A130" s="50"/>
      <c r="B130" s="55">
        <v>17678</v>
      </c>
      <c r="C130" s="9" t="s">
        <v>98</v>
      </c>
      <c r="D130" s="4">
        <v>290</v>
      </c>
      <c r="E130" s="4">
        <v>157</v>
      </c>
      <c r="F130" s="56">
        <f t="shared" si="4"/>
        <v>447</v>
      </c>
      <c r="G130" s="46"/>
      <c r="H130" s="57">
        <v>0</v>
      </c>
      <c r="I130" s="58">
        <v>0</v>
      </c>
      <c r="J130" s="58">
        <f t="shared" si="1"/>
        <v>447</v>
      </c>
      <c r="K130" s="58">
        <v>0</v>
      </c>
      <c r="L130" s="56">
        <f t="shared" si="2"/>
        <v>447</v>
      </c>
      <c r="M130" s="47"/>
      <c r="N130" s="53">
        <f>+F130*0.882930019620667%</f>
        <v>3.9466971877043808</v>
      </c>
      <c r="O130" s="53">
        <f>+F130*0.13080444735121%</f>
        <v>0.58469587965990866</v>
      </c>
      <c r="P130" s="53">
        <f>+F130*0.0490516677567037%</f>
        <v>0.21926095487246552</v>
      </c>
      <c r="Q130" s="53">
        <v>442.24934597776331</v>
      </c>
      <c r="R130" s="54">
        <f t="shared" si="5"/>
        <v>447.00000000000006</v>
      </c>
    </row>
    <row r="131" spans="1:18" x14ac:dyDescent="0.3">
      <c r="A131" s="50"/>
      <c r="B131" s="55">
        <v>17701</v>
      </c>
      <c r="C131" s="9" t="s">
        <v>99</v>
      </c>
      <c r="D131" s="4">
        <v>248</v>
      </c>
      <c r="E131" s="4">
        <v>107</v>
      </c>
      <c r="F131" s="56">
        <f t="shared" si="4"/>
        <v>355</v>
      </c>
      <c r="G131" s="46"/>
      <c r="H131" s="57">
        <v>0</v>
      </c>
      <c r="I131" s="58">
        <v>0</v>
      </c>
      <c r="J131" s="58">
        <f t="shared" si="1"/>
        <v>355</v>
      </c>
      <c r="K131" s="58">
        <v>0</v>
      </c>
      <c r="L131" s="56">
        <f t="shared" si="2"/>
        <v>355</v>
      </c>
      <c r="M131" s="47"/>
      <c r="N131" s="53">
        <f>+F131*0.384845634140084%</f>
        <v>1.3662020011972982</v>
      </c>
      <c r="O131" s="53">
        <f>+F131*0.102625502437356%</f>
        <v>0.3643205336526138</v>
      </c>
      <c r="P131" s="53">
        <f>+F131*0.0171042504062259%</f>
        <v>6.072008894210195E-2</v>
      </c>
      <c r="Q131" s="53">
        <v>353.20875737620798</v>
      </c>
      <c r="R131" s="54">
        <f t="shared" si="5"/>
        <v>355</v>
      </c>
    </row>
    <row r="132" spans="1:18" x14ac:dyDescent="0.3">
      <c r="A132" s="50"/>
      <c r="B132" s="55">
        <v>17708</v>
      </c>
      <c r="C132" s="9" t="s">
        <v>31</v>
      </c>
      <c r="D132" s="4">
        <v>190</v>
      </c>
      <c r="E132" s="4">
        <v>48</v>
      </c>
      <c r="F132" s="56">
        <f t="shared" si="4"/>
        <v>238</v>
      </c>
      <c r="G132" s="46"/>
      <c r="H132" s="57">
        <v>0</v>
      </c>
      <c r="I132" s="58">
        <v>0</v>
      </c>
      <c r="J132" s="58">
        <f t="shared" si="1"/>
        <v>238</v>
      </c>
      <c r="K132" s="58">
        <v>0</v>
      </c>
      <c r="L132" s="56">
        <f t="shared" si="2"/>
        <v>238</v>
      </c>
      <c r="M132" s="47"/>
      <c r="N132" s="53">
        <f>+F132*53.3214499537365%</f>
        <v>126.90505088989286</v>
      </c>
      <c r="O132" s="53">
        <f>+F132*2.27915963642301%</f>
        <v>5.4243999346867637</v>
      </c>
      <c r="P132" s="53">
        <f>+F132*0.00816415392151527%</f>
        <v>1.9430686333206347E-2</v>
      </c>
      <c r="Q132" s="53">
        <v>105.65111848908728</v>
      </c>
      <c r="R132" s="54">
        <f t="shared" si="5"/>
        <v>238.00000000000011</v>
      </c>
    </row>
    <row r="133" spans="1:18" x14ac:dyDescent="0.3">
      <c r="A133" s="50"/>
      <c r="B133" s="59">
        <v>17786</v>
      </c>
      <c r="C133" s="8" t="s">
        <v>100</v>
      </c>
      <c r="D133" s="4">
        <v>123</v>
      </c>
      <c r="E133" s="4">
        <v>48</v>
      </c>
      <c r="F133" s="56">
        <f t="shared" si="4"/>
        <v>171</v>
      </c>
      <c r="G133" s="46"/>
      <c r="H133" s="57">
        <v>0</v>
      </c>
      <c r="I133" s="58">
        <v>0</v>
      </c>
      <c r="J133" s="58">
        <f t="shared" si="1"/>
        <v>171</v>
      </c>
      <c r="K133" s="58">
        <v>0</v>
      </c>
      <c r="L133" s="56">
        <f t="shared" si="2"/>
        <v>171</v>
      </c>
      <c r="M133" s="47"/>
      <c r="N133" s="53">
        <f>+F133*2.8550500788204%</f>
        <v>4.8821356347828839</v>
      </c>
      <c r="O133" s="53">
        <f>+F133*0.456999092371141%</f>
        <v>0.78146844795465109</v>
      </c>
      <c r="P133" s="53">
        <f>+F133*0.0525469339660197%</f>
        <v>8.985525708189368E-2</v>
      </c>
      <c r="Q133" s="53">
        <v>165.24654066018064</v>
      </c>
      <c r="R133" s="54">
        <f t="shared" si="5"/>
        <v>171.00000000000006</v>
      </c>
    </row>
    <row r="134" spans="1:18" x14ac:dyDescent="0.3">
      <c r="A134" s="50"/>
      <c r="B134" s="55">
        <v>17787</v>
      </c>
      <c r="C134" s="7" t="s">
        <v>57</v>
      </c>
      <c r="D134" s="4">
        <v>401</v>
      </c>
      <c r="E134" s="4">
        <v>272</v>
      </c>
      <c r="F134" s="56">
        <f t="shared" si="4"/>
        <v>673</v>
      </c>
      <c r="G134" s="46"/>
      <c r="H134" s="57">
        <v>0</v>
      </c>
      <c r="I134" s="58">
        <v>0</v>
      </c>
      <c r="J134" s="58">
        <f t="shared" si="1"/>
        <v>673</v>
      </c>
      <c r="K134" s="58">
        <v>0</v>
      </c>
      <c r="L134" s="56">
        <f t="shared" si="2"/>
        <v>673</v>
      </c>
      <c r="M134" s="47"/>
      <c r="N134" s="53">
        <f>+F134*24.0178648859596%</f>
        <v>161.6402306825081</v>
      </c>
      <c r="O134" s="53">
        <f>+F134*0.134420258433787%</f>
        <v>0.90464833925938637</v>
      </c>
      <c r="P134" s="53">
        <f>+F134*0.0130084121064955%</f>
        <v>8.7546613476714719E-2</v>
      </c>
      <c r="Q134" s="53">
        <v>510.36757436475602</v>
      </c>
      <c r="R134" s="54">
        <f t="shared" si="5"/>
        <v>673.00000000000023</v>
      </c>
    </row>
    <row r="135" spans="1:18" x14ac:dyDescent="0.3">
      <c r="A135" s="50"/>
      <c r="B135" s="55">
        <v>17788</v>
      </c>
      <c r="C135" s="7" t="s">
        <v>58</v>
      </c>
      <c r="D135" s="4">
        <v>35</v>
      </c>
      <c r="E135" s="4">
        <v>18</v>
      </c>
      <c r="F135" s="56">
        <f t="shared" si="4"/>
        <v>53</v>
      </c>
      <c r="G135" s="46"/>
      <c r="H135" s="57">
        <v>0</v>
      </c>
      <c r="I135" s="58">
        <v>0</v>
      </c>
      <c r="J135" s="58">
        <f t="shared" si="1"/>
        <v>53</v>
      </c>
      <c r="K135" s="58">
        <v>0</v>
      </c>
      <c r="L135" s="56">
        <f t="shared" si="2"/>
        <v>53</v>
      </c>
      <c r="M135" s="47"/>
      <c r="N135" s="53">
        <f>+F135*16.61494952669%</f>
        <v>8.8059232491457013</v>
      </c>
      <c r="O135" s="53">
        <f>+F135*0.109980753368161%</f>
        <v>5.8289799285125329E-2</v>
      </c>
      <c r="P135" s="53">
        <f>+F135*0.0707019128795318%</f>
        <v>3.7472013826151854E-2</v>
      </c>
      <c r="Q135" s="53">
        <v>44.098314937743055</v>
      </c>
      <c r="R135" s="54">
        <f t="shared" si="5"/>
        <v>53.000000000000036</v>
      </c>
    </row>
    <row r="136" spans="1:18" x14ac:dyDescent="0.3">
      <c r="A136" s="50"/>
      <c r="B136" s="55">
        <v>17789</v>
      </c>
      <c r="C136" s="9" t="s">
        <v>59</v>
      </c>
      <c r="D136" s="4">
        <v>38</v>
      </c>
      <c r="E136" s="4">
        <v>7</v>
      </c>
      <c r="F136" s="56">
        <f t="shared" si="4"/>
        <v>45</v>
      </c>
      <c r="G136" s="46"/>
      <c r="H136" s="57">
        <v>0</v>
      </c>
      <c r="I136" s="58">
        <v>0</v>
      </c>
      <c r="J136" s="58">
        <f t="shared" si="1"/>
        <v>45</v>
      </c>
      <c r="K136" s="58">
        <v>0</v>
      </c>
      <c r="L136" s="56">
        <f t="shared" si="2"/>
        <v>45</v>
      </c>
      <c r="M136" s="47"/>
      <c r="N136" s="53">
        <f>+F136*1.20848405129891%</f>
        <v>0.54381782308450943</v>
      </c>
      <c r="O136" s="53">
        <f>+F136*0.147977638934561%</f>
        <v>6.658993752055245E-2</v>
      </c>
      <c r="P136" s="53">
        <f>+F136*0.0246629398224268%</f>
        <v>1.1098322920092059E-2</v>
      </c>
      <c r="Q136" s="53">
        <v>44.378493916474838</v>
      </c>
      <c r="R136" s="54">
        <f t="shared" si="5"/>
        <v>44.999999999999993</v>
      </c>
    </row>
    <row r="137" spans="1:18" x14ac:dyDescent="0.3">
      <c r="A137" s="50"/>
      <c r="B137" s="55">
        <v>17790</v>
      </c>
      <c r="C137" s="7" t="s">
        <v>29</v>
      </c>
      <c r="D137" s="4">
        <v>32</v>
      </c>
      <c r="E137" s="4">
        <v>23</v>
      </c>
      <c r="F137" s="56">
        <f t="shared" si="4"/>
        <v>55</v>
      </c>
      <c r="G137" s="46"/>
      <c r="H137" s="57">
        <v>0</v>
      </c>
      <c r="I137" s="58">
        <v>0</v>
      </c>
      <c r="J137" s="58">
        <f t="shared" si="1"/>
        <v>55</v>
      </c>
      <c r="K137" s="58">
        <v>0</v>
      </c>
      <c r="L137" s="56">
        <f t="shared" si="2"/>
        <v>55</v>
      </c>
      <c r="M137" s="47"/>
      <c r="N137" s="53">
        <f>+F137*93.7171595856478%</f>
        <v>51.544437772106292</v>
      </c>
      <c r="O137" s="53">
        <f>+F137*0.0487914727518391%</f>
        <v>2.6835310013511506E-2</v>
      </c>
      <c r="P137" s="53">
        <f>+F137*0%</f>
        <v>0</v>
      </c>
      <c r="Q137" s="53">
        <v>3.4287269178801956</v>
      </c>
      <c r="R137" s="54">
        <f t="shared" si="5"/>
        <v>55</v>
      </c>
    </row>
    <row r="138" spans="1:18" x14ac:dyDescent="0.3">
      <c r="A138" s="50"/>
      <c r="B138" s="63">
        <v>18420</v>
      </c>
      <c r="C138" s="10" t="s">
        <v>8</v>
      </c>
      <c r="D138" s="4">
        <v>471</v>
      </c>
      <c r="E138" s="4">
        <v>168</v>
      </c>
      <c r="F138" s="64">
        <f t="shared" si="4"/>
        <v>639</v>
      </c>
      <c r="G138" s="46"/>
      <c r="H138" s="57">
        <v>0</v>
      </c>
      <c r="I138" s="58">
        <v>0</v>
      </c>
      <c r="J138" s="58">
        <f t="shared" si="1"/>
        <v>639</v>
      </c>
      <c r="K138" s="58">
        <v>0</v>
      </c>
      <c r="L138" s="56">
        <f t="shared" si="2"/>
        <v>639</v>
      </c>
      <c r="M138" s="47"/>
      <c r="N138" s="53">
        <f>+F138*3.7284167023856%</f>
        <v>23.824582728243985</v>
      </c>
      <c r="O138" s="53">
        <f>+F138*0.110035633632519%</f>
        <v>0.70312769891179638</v>
      </c>
      <c r="P138" s="53">
        <f>+F138*0.032626844856154%</f>
        <v>0.20848553863082403</v>
      </c>
      <c r="Q138" s="53">
        <v>614.26380403421319</v>
      </c>
      <c r="R138" s="54">
        <f t="shared" si="5"/>
        <v>638.99999999999977</v>
      </c>
    </row>
    <row r="139" spans="1:18" x14ac:dyDescent="0.3">
      <c r="A139" s="50"/>
      <c r="B139" s="63"/>
      <c r="C139" s="10" t="s">
        <v>34</v>
      </c>
      <c r="D139" s="4">
        <v>79</v>
      </c>
      <c r="E139" s="4">
        <v>39</v>
      </c>
      <c r="F139" s="64">
        <f t="shared" si="4"/>
        <v>118</v>
      </c>
      <c r="G139" s="46"/>
      <c r="H139" s="57">
        <v>0</v>
      </c>
      <c r="I139" s="58">
        <v>0</v>
      </c>
      <c r="J139" s="58">
        <f t="shared" si="1"/>
        <v>118</v>
      </c>
      <c r="K139" s="58">
        <v>0</v>
      </c>
      <c r="L139" s="56">
        <f t="shared" si="2"/>
        <v>118</v>
      </c>
      <c r="M139" s="47"/>
      <c r="N139" s="53">
        <f>+F139*0.553036548502336%</f>
        <v>0.65258312723275647</v>
      </c>
      <c r="O139" s="53">
        <f>+F139*0.0652651827425117%</f>
        <v>7.7012915636163803E-2</v>
      </c>
      <c r="P139" s="53">
        <f>+F139*0.00343500961802693%</f>
        <v>4.0533113492717777E-3</v>
      </c>
      <c r="Q139" s="53">
        <v>117.26635064578176</v>
      </c>
      <c r="R139" s="54">
        <f t="shared" si="5"/>
        <v>117.99999999999994</v>
      </c>
    </row>
    <row r="140" spans="1:18" x14ac:dyDescent="0.3">
      <c r="A140" s="50"/>
      <c r="B140" s="63"/>
      <c r="C140" s="10" t="s">
        <v>60</v>
      </c>
      <c r="D140" s="4">
        <v>73</v>
      </c>
      <c r="E140" s="4">
        <v>50</v>
      </c>
      <c r="F140" s="64">
        <f t="shared" si="4"/>
        <v>123</v>
      </c>
      <c r="G140" s="46"/>
      <c r="H140" s="57">
        <v>0</v>
      </c>
      <c r="I140" s="58">
        <v>0</v>
      </c>
      <c r="J140" s="58">
        <f t="shared" si="1"/>
        <v>123</v>
      </c>
      <c r="K140" s="58">
        <v>0</v>
      </c>
      <c r="L140" s="56">
        <f t="shared" si="2"/>
        <v>123</v>
      </c>
      <c r="M140" s="47"/>
      <c r="N140" s="53">
        <f>+F140*0.691818097961443%</f>
        <v>0.85093626049257487</v>
      </c>
      <c r="O140" s="53">
        <f>+F140*0.064569689143068%</f>
        <v>7.9420717645973637E-2</v>
      </c>
      <c r="P140" s="53">
        <f>+F140*0.00922424130615257%</f>
        <v>1.1345816806567662E-2</v>
      </c>
      <c r="Q140" s="53">
        <v>122.05829720505488</v>
      </c>
      <c r="R140" s="54">
        <f t="shared" si="5"/>
        <v>123</v>
      </c>
    </row>
    <row r="141" spans="1:18" x14ac:dyDescent="0.3">
      <c r="A141" s="50"/>
      <c r="B141" s="63"/>
      <c r="C141" s="10" t="s">
        <v>35</v>
      </c>
      <c r="D141" s="4">
        <v>99</v>
      </c>
      <c r="E141" s="4">
        <v>21</v>
      </c>
      <c r="F141" s="64">
        <f t="shared" si="4"/>
        <v>120</v>
      </c>
      <c r="G141" s="46"/>
      <c r="H141" s="57">
        <v>0</v>
      </c>
      <c r="I141" s="58">
        <v>0</v>
      </c>
      <c r="J141" s="58">
        <f t="shared" si="1"/>
        <v>120</v>
      </c>
      <c r="K141" s="58">
        <v>0</v>
      </c>
      <c r="L141" s="56">
        <f t="shared" si="2"/>
        <v>120</v>
      </c>
      <c r="M141" s="47"/>
      <c r="N141" s="53">
        <f>+F141*65.6906494576411%</f>
        <v>78.828779349169324</v>
      </c>
      <c r="O141" s="53">
        <f>+F141*0.109844844157627%</f>
        <v>0.1318138129891524</v>
      </c>
      <c r="P141" s="53">
        <f>+F141*0.00686530275985171%</f>
        <v>8.2383633118220528E-3</v>
      </c>
      <c r="Q141" s="53">
        <v>41.031168474529331</v>
      </c>
      <c r="R141" s="54">
        <f t="shared" si="5"/>
        <v>119.99999999999963</v>
      </c>
    </row>
    <row r="142" spans="1:18" x14ac:dyDescent="0.3">
      <c r="A142" s="50"/>
      <c r="B142" s="63">
        <v>18428</v>
      </c>
      <c r="C142" s="10" t="s">
        <v>36</v>
      </c>
      <c r="D142" s="4">
        <v>48</v>
      </c>
      <c r="E142" s="4">
        <v>21</v>
      </c>
      <c r="F142" s="64">
        <f t="shared" si="4"/>
        <v>69</v>
      </c>
      <c r="G142" s="46"/>
      <c r="H142" s="57">
        <v>0</v>
      </c>
      <c r="I142" s="58">
        <v>0</v>
      </c>
      <c r="J142" s="58">
        <f t="shared" si="1"/>
        <v>69</v>
      </c>
      <c r="K142" s="58">
        <v>0</v>
      </c>
      <c r="L142" s="56">
        <f t="shared" si="2"/>
        <v>69</v>
      </c>
      <c r="M142" s="47"/>
      <c r="N142" s="53">
        <f>+F142*9.11805612370122%</f>
        <v>6.2914587253538414</v>
      </c>
      <c r="O142" s="53">
        <f>+F142*0.0613597316534402%</f>
        <v>4.2338214840873738E-2</v>
      </c>
      <c r="P142" s="53">
        <f>+F142*0%</f>
        <v>0</v>
      </c>
      <c r="Q142" s="53">
        <v>62.666203059805277</v>
      </c>
      <c r="R142" s="54">
        <f t="shared" si="5"/>
        <v>68.999999999999986</v>
      </c>
    </row>
    <row r="143" spans="1:18" ht="17.25" thickBot="1" x14ac:dyDescent="0.35">
      <c r="A143" s="50"/>
      <c r="B143" s="65"/>
      <c r="C143" s="10" t="s">
        <v>61</v>
      </c>
      <c r="D143" s="4">
        <v>29</v>
      </c>
      <c r="E143" s="4">
        <v>60</v>
      </c>
      <c r="F143" s="64">
        <f t="shared" si="4"/>
        <v>89</v>
      </c>
      <c r="G143" s="46"/>
      <c r="H143" s="66">
        <v>0</v>
      </c>
      <c r="I143" s="58">
        <v>0</v>
      </c>
      <c r="J143" s="58">
        <f t="shared" si="1"/>
        <v>89</v>
      </c>
      <c r="K143" s="58">
        <v>0</v>
      </c>
      <c r="L143" s="56">
        <f t="shared" si="2"/>
        <v>89</v>
      </c>
      <c r="M143" s="47"/>
      <c r="N143" s="53">
        <f>+F143*74.371685286774%</f>
        <v>66.190799905228857</v>
      </c>
      <c r="O143" s="53">
        <f>+F143*0.114818932366181%</f>
        <v>0.10218884980590109</v>
      </c>
      <c r="P143" s="53">
        <f>+F143*0.00364504547194226%</f>
        <v>3.2440904700286118E-3</v>
      </c>
      <c r="Q143" s="53">
        <v>22.70376715449521</v>
      </c>
      <c r="R143" s="54">
        <f t="shared" si="5"/>
        <v>89</v>
      </c>
    </row>
    <row r="144" spans="1:18" ht="19.5" thickBot="1" x14ac:dyDescent="0.35">
      <c r="A144" s="50"/>
      <c r="B144" s="67"/>
      <c r="C144" s="68" t="s">
        <v>101</v>
      </c>
      <c r="D144" s="69">
        <f>SUM(D91:D143)</f>
        <v>25853</v>
      </c>
      <c r="E144" s="69">
        <f>SUM(E91:E143)</f>
        <v>17226</v>
      </c>
      <c r="F144" s="69">
        <f>SUM(F91:F143)</f>
        <v>43079</v>
      </c>
      <c r="G144" s="70"/>
      <c r="H144" s="69">
        <f>SUM(H91:H143)</f>
        <v>0</v>
      </c>
      <c r="I144" s="69">
        <f>SUM(I91:I143)</f>
        <v>0</v>
      </c>
      <c r="J144" s="69">
        <f>SUM(J91:J143)</f>
        <v>43079</v>
      </c>
      <c r="K144" s="69">
        <f>SUM(K91:K143)</f>
        <v>0</v>
      </c>
      <c r="L144" s="69">
        <f>SUM(L91:L143)</f>
        <v>43079</v>
      </c>
      <c r="M144" s="71"/>
      <c r="N144" s="72">
        <f t="shared" ref="N144:R144" si="6">SUM(N91:N143)</f>
        <v>6964.2799304916871</v>
      </c>
      <c r="O144" s="69">
        <f t="shared" si="6"/>
        <v>76.200179536294826</v>
      </c>
      <c r="P144" s="73">
        <f t="shared" si="6"/>
        <v>427.09180200573451</v>
      </c>
      <c r="Q144" s="73">
        <f t="shared" si="6"/>
        <v>35611.416189735319</v>
      </c>
      <c r="R144" s="74">
        <f t="shared" si="6"/>
        <v>43078.988101769035</v>
      </c>
    </row>
    <row r="146" spans="2:7" x14ac:dyDescent="0.3">
      <c r="B146" s="75" t="s">
        <v>102</v>
      </c>
      <c r="C146"/>
      <c r="D146"/>
      <c r="E146"/>
      <c r="F146"/>
      <c r="G146"/>
    </row>
    <row r="147" spans="2:7" x14ac:dyDescent="0.3">
      <c r="B147"/>
      <c r="C147"/>
      <c r="D147"/>
      <c r="E147"/>
      <c r="F147"/>
      <c r="G147"/>
    </row>
    <row r="148" spans="2:7" x14ac:dyDescent="0.3">
      <c r="B148" s="75" t="s">
        <v>103</v>
      </c>
      <c r="C148"/>
      <c r="D148"/>
      <c r="E148"/>
      <c r="F148"/>
      <c r="G148"/>
    </row>
    <row r="149" spans="2:7" x14ac:dyDescent="0.3">
      <c r="B149"/>
      <c r="C149"/>
      <c r="D149"/>
      <c r="E149"/>
      <c r="F149"/>
      <c r="G149"/>
    </row>
    <row r="150" spans="2:7" x14ac:dyDescent="0.3">
      <c r="B150" s="75" t="s">
        <v>104</v>
      </c>
      <c r="C150"/>
      <c r="D150"/>
      <c r="E150"/>
      <c r="F150"/>
      <c r="G150"/>
    </row>
    <row r="151" spans="2:7" x14ac:dyDescent="0.3">
      <c r="B151"/>
      <c r="C151"/>
      <c r="D151"/>
      <c r="E151"/>
      <c r="F151"/>
      <c r="G151"/>
    </row>
    <row r="152" spans="2:7" x14ac:dyDescent="0.3">
      <c r="B152" s="76">
        <v>2021</v>
      </c>
      <c r="C152"/>
      <c r="D152"/>
      <c r="E152"/>
      <c r="F152"/>
      <c r="G152"/>
    </row>
    <row r="153" spans="2:7" x14ac:dyDescent="0.3">
      <c r="B153"/>
      <c r="C153"/>
      <c r="D153"/>
      <c r="E153"/>
      <c r="F153"/>
      <c r="G153"/>
    </row>
    <row r="154" spans="2:7" x14ac:dyDescent="0.3">
      <c r="B154" s="75" t="s">
        <v>105</v>
      </c>
      <c r="C154"/>
      <c r="D154"/>
      <c r="E154"/>
      <c r="F154"/>
      <c r="G154"/>
    </row>
    <row r="155" spans="2:7" x14ac:dyDescent="0.3">
      <c r="B155"/>
      <c r="C155"/>
      <c r="D155"/>
      <c r="E155"/>
      <c r="F155"/>
      <c r="G155"/>
    </row>
    <row r="156" spans="2:7" x14ac:dyDescent="0.3">
      <c r="B156" s="75" t="s">
        <v>106</v>
      </c>
      <c r="C156"/>
      <c r="D156"/>
      <c r="E156"/>
      <c r="F156"/>
      <c r="G156"/>
    </row>
    <row r="157" spans="2:7" ht="17.25" thickBot="1" x14ac:dyDescent="0.35">
      <c r="B157"/>
      <c r="C157"/>
      <c r="D157"/>
      <c r="E157"/>
      <c r="F157"/>
      <c r="G157"/>
    </row>
    <row r="158" spans="2:7" x14ac:dyDescent="0.3">
      <c r="B158" s="85" t="s">
        <v>107</v>
      </c>
      <c r="C158" s="77"/>
      <c r="D158" s="77"/>
      <c r="E158" s="77" t="s">
        <v>110</v>
      </c>
      <c r="F158" s="85" t="s">
        <v>112</v>
      </c>
      <c r="G158" s="77"/>
    </row>
    <row r="159" spans="2:7" x14ac:dyDescent="0.3">
      <c r="B159" s="86"/>
      <c r="C159" s="78"/>
      <c r="D159" s="78"/>
      <c r="E159" s="78"/>
      <c r="F159" s="86"/>
      <c r="G159" s="78"/>
    </row>
    <row r="160" spans="2:7" ht="60" customHeight="1" thickBot="1" x14ac:dyDescent="0.35">
      <c r="B160" s="87"/>
      <c r="C160" s="79" t="s">
        <v>108</v>
      </c>
      <c r="D160" s="79" t="s">
        <v>109</v>
      </c>
      <c r="E160" s="79" t="s">
        <v>111</v>
      </c>
      <c r="F160" s="87"/>
      <c r="G160" s="79" t="s">
        <v>113</v>
      </c>
    </row>
    <row r="161" spans="2:7" ht="60" customHeight="1" x14ac:dyDescent="0.3">
      <c r="B161" s="89" t="s">
        <v>114</v>
      </c>
      <c r="C161" s="89" t="s">
        <v>115</v>
      </c>
      <c r="D161" s="89" t="s">
        <v>116</v>
      </c>
      <c r="E161" s="91">
        <v>0.63</v>
      </c>
      <c r="F161" s="89" t="s">
        <v>117</v>
      </c>
      <c r="G161" s="80" t="s">
        <v>118</v>
      </c>
    </row>
    <row r="162" spans="2:7" ht="78" customHeight="1" thickBot="1" x14ac:dyDescent="0.35">
      <c r="B162" s="90"/>
      <c r="C162" s="90"/>
      <c r="D162" s="90"/>
      <c r="E162" s="92"/>
      <c r="F162" s="90"/>
      <c r="G162" s="81" t="s">
        <v>119</v>
      </c>
    </row>
    <row r="163" spans="2:7" ht="39.950000000000003" customHeight="1" x14ac:dyDescent="0.3">
      <c r="B163" s="89" t="s">
        <v>120</v>
      </c>
      <c r="C163" s="89" t="s">
        <v>121</v>
      </c>
      <c r="D163" s="89" t="s">
        <v>122</v>
      </c>
      <c r="E163" s="80"/>
      <c r="F163" s="89" t="s">
        <v>123</v>
      </c>
      <c r="G163" s="89" t="s">
        <v>124</v>
      </c>
    </row>
    <row r="164" spans="2:7" x14ac:dyDescent="0.3">
      <c r="B164" s="88"/>
      <c r="C164" s="88"/>
      <c r="D164" s="88"/>
      <c r="E164" s="82">
        <v>1</v>
      </c>
      <c r="F164" s="88"/>
      <c r="G164" s="88"/>
    </row>
    <row r="165" spans="2:7" ht="52.5" customHeight="1" thickBot="1" x14ac:dyDescent="0.35">
      <c r="B165" s="90"/>
      <c r="C165" s="90"/>
      <c r="D165" s="90"/>
      <c r="E165" s="81"/>
      <c r="F165" s="90"/>
      <c r="G165" s="90"/>
    </row>
    <row r="166" spans="2:7" ht="9" customHeight="1" x14ac:dyDescent="0.3">
      <c r="B166" s="89" t="s">
        <v>125</v>
      </c>
      <c r="C166" s="80"/>
      <c r="D166" s="89" t="s">
        <v>127</v>
      </c>
      <c r="E166" s="93">
        <v>1</v>
      </c>
      <c r="F166" s="89" t="s">
        <v>128</v>
      </c>
      <c r="G166" s="89" t="s">
        <v>124</v>
      </c>
    </row>
    <row r="167" spans="2:7" ht="68.25" thickBot="1" x14ac:dyDescent="0.35">
      <c r="B167" s="90"/>
      <c r="C167" s="81" t="s">
        <v>126</v>
      </c>
      <c r="D167" s="90"/>
      <c r="E167" s="94"/>
      <c r="F167" s="90"/>
      <c r="G167" s="90"/>
    </row>
    <row r="168" spans="2:7" ht="107.25" customHeight="1" thickBot="1" x14ac:dyDescent="0.35">
      <c r="B168" s="83" t="s">
        <v>129</v>
      </c>
      <c r="C168" s="81" t="s">
        <v>130</v>
      </c>
      <c r="D168" s="81" t="s">
        <v>127</v>
      </c>
      <c r="E168" s="84">
        <v>1</v>
      </c>
      <c r="F168" s="81" t="s">
        <v>128</v>
      </c>
      <c r="G168" s="81" t="s">
        <v>124</v>
      </c>
    </row>
    <row r="169" spans="2:7" ht="39.950000000000003" customHeight="1" x14ac:dyDescent="0.3">
      <c r="B169" s="89" t="s">
        <v>131</v>
      </c>
      <c r="C169" s="89" t="s">
        <v>132</v>
      </c>
      <c r="D169" s="89" t="s">
        <v>127</v>
      </c>
      <c r="E169" s="93">
        <v>1</v>
      </c>
      <c r="F169" s="89" t="s">
        <v>128</v>
      </c>
      <c r="G169" s="89" t="s">
        <v>124</v>
      </c>
    </row>
    <row r="170" spans="2:7" ht="121.5" customHeight="1" thickBot="1" x14ac:dyDescent="0.35">
      <c r="B170" s="90"/>
      <c r="C170" s="90"/>
      <c r="D170" s="90"/>
      <c r="E170" s="94"/>
      <c r="F170" s="90"/>
      <c r="G170" s="90"/>
    </row>
  </sheetData>
  <mergeCells count="56">
    <mergeCell ref="G169:G170"/>
    <mergeCell ref="B169:B170"/>
    <mergeCell ref="C169:C170"/>
    <mergeCell ref="D169:D170"/>
    <mergeCell ref="E169:E170"/>
    <mergeCell ref="F169:F170"/>
    <mergeCell ref="B166:B167"/>
    <mergeCell ref="D166:D167"/>
    <mergeCell ref="E166:E167"/>
    <mergeCell ref="F166:F167"/>
    <mergeCell ref="G166:G167"/>
    <mergeCell ref="B163:B165"/>
    <mergeCell ref="C163:C165"/>
    <mergeCell ref="D163:D165"/>
    <mergeCell ref="F163:F165"/>
    <mergeCell ref="G163:G165"/>
    <mergeCell ref="B158:B160"/>
    <mergeCell ref="F158:F160"/>
    <mergeCell ref="B161:B162"/>
    <mergeCell ref="C161:C162"/>
    <mergeCell ref="D161:D162"/>
    <mergeCell ref="E161:E162"/>
    <mergeCell ref="F161:F162"/>
    <mergeCell ref="B86:R86"/>
    <mergeCell ref="B87:R87"/>
    <mergeCell ref="B89:B90"/>
    <mergeCell ref="C89:C90"/>
    <mergeCell ref="D89:R89"/>
    <mergeCell ref="G90:G144"/>
    <mergeCell ref="M90:M144"/>
    <mergeCell ref="B80:B84"/>
    <mergeCell ref="C80:E80"/>
    <mergeCell ref="C81:E81"/>
    <mergeCell ref="C82:E82"/>
    <mergeCell ref="C83:E83"/>
    <mergeCell ref="C84:E84"/>
    <mergeCell ref="B75:B79"/>
    <mergeCell ref="C75:E75"/>
    <mergeCell ref="C76:E76"/>
    <mergeCell ref="C77:E77"/>
    <mergeCell ref="C78:E78"/>
    <mergeCell ref="C79:E79"/>
    <mergeCell ref="B67:F67"/>
    <mergeCell ref="B68:F68"/>
    <mergeCell ref="B71:F71"/>
    <mergeCell ref="B72:B74"/>
    <mergeCell ref="C72:E72"/>
    <mergeCell ref="C73:E73"/>
    <mergeCell ref="C74:E74"/>
    <mergeCell ref="A1:E1"/>
    <mergeCell ref="A2:E2"/>
    <mergeCell ref="A3:E3"/>
    <mergeCell ref="A5:E5"/>
    <mergeCell ref="A7:A8"/>
    <mergeCell ref="B7:B8"/>
    <mergeCell ref="C7:E7"/>
  </mergeCells>
  <pageMargins left="1.1023622047244095" right="0.70866141732283472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Carlos Rene Giron</cp:lastModifiedBy>
  <cp:lastPrinted>2021-10-25T17:19:12Z</cp:lastPrinted>
  <dcterms:created xsi:type="dcterms:W3CDTF">2020-12-21T13:59:40Z</dcterms:created>
  <dcterms:modified xsi:type="dcterms:W3CDTF">2021-10-25T17:19:31Z</dcterms:modified>
</cp:coreProperties>
</file>